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<sst xmlns="http://schemas.openxmlformats.org/spreadsheetml/2006/main" count="279" uniqueCount="56">
  <si>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</si>
  <si>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</si>
  <si>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</si>
  <si>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</si>
  <si>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</si>
  <si>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</si>
  <si>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</si>
  <si>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</si>
  <si>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</si>
  <si>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</si>
  <si>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</si>
  <si>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</si>
  <si>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</si>
  <si>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</si>
  <si>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</si>
  <si>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</si>
  <si>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</si>
  <si>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</si>
  <si>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</si>
  <si>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</si>
  <si>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</si>
  <si>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</si>
  <si>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</si>
  <si>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</si>
  <si>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</si>
  <si>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</si>
  <si>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</si>
  <si>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</si>
  <si>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</si>
  <si>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</si>
  <si>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</si>
  <si>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</si>
  <si>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</si>
  <si>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</si>
  <si>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</si>
  <si>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</si>
  <si>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</si>
  <si>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</si>
  <si>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</si>
  <si>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</si>
  <si>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</si>
  <si>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</si>
  <si>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</si>
  <si>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</si>
  <si>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</si>
  <si>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</si>
  <si>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</si>
  <si>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Pro 256GB</t>
  </si>
  <si>
    <t>iPhone 13 128GB</t>
  </si>
  <si>
    <t>ABC</t>
  </si>
  <si>
    <t>100+</t>
  </si>
  <si>
    <t>iPhone 12 Pro 128GB</t>
  </si>
  <si>
    <t>JP</t>
  </si>
  <si>
    <t>iPhone 14 512GB</t>
  </si>
  <si>
    <t>iPhone 13 Mini 256GB</t>
  </si>
  <si>
    <t>iPhone 12 128GB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</si>
</sst>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40">
    <font>
      <sz val="10"/>
      <color rgb="FF000000"/>
      <name val="Arial"/>
      <charset val="134"/>
      <scheme val="minor"/>
    </font>
    <font>
      <sz val="14"/>
      <color rgb="FF000000"/>
      <name val="DengXian Regular"/>
      <charset val="134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4"/>
      <color theme="1"/>
      <name val="DengXian Regular"/>
      <charset val="134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7" applyNumberFormat="0" applyAlignment="0" applyProtection="0">
      <alignment vertical="center"/>
    </xf>
    <xf numFmtId="0" fontId="29" fillId="8" borderId="28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9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2" fillId="2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6" fontId="3" fillId="3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76" fontId="3" fillId="4" borderId="6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6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76" fontId="3" fillId="3" borderId="8" xfId="0" applyNumberFormat="1" applyFont="1" applyFill="1" applyBorder="1" applyAlignment="1">
      <alignment horizontal="center"/>
    </xf>
    <xf numFmtId="176" fontId="4" fillId="0" borderId="0" xfId="0" applyNumberFormat="1" applyFont="1"/>
    <xf numFmtId="0" fontId="2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5" fillId="0" borderId="0" xfId="0" applyFont="1"/>
    <xf numFmtId="176" fontId="5" fillId="0" borderId="0" xfId="0" applyNumberFormat="1" applyFont="1"/>
    <xf numFmtId="49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17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wrapText="1"/>
    </xf>
    <xf numFmtId="176" fontId="6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5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4" fillId="5" borderId="15" xfId="0" applyFont="1" applyFill="1" applyBorder="1" applyAlignment="1">
      <alignment horizontal="right" wrapText="1"/>
    </xf>
    <xf numFmtId="30" fontId="16" fillId="5" borderId="0" xfId="0" applyNumberFormat="1" applyFont="1" applyFill="1" applyAlignment="1">
      <alignment horizontal="left" wrapText="1"/>
    </xf>
    <xf numFmtId="0" fontId="14" fillId="5" borderId="0" xfId="0" applyFont="1" applyFill="1" applyAlignment="1">
      <alignment horizontal="right" wrapText="1"/>
    </xf>
    <xf numFmtId="0" fontId="17" fillId="0" borderId="0" xfId="0" applyFont="1" applyAlignment="1">
      <alignment horizontal="left" wrapText="1"/>
    </xf>
    <xf numFmtId="0" fontId="16" fillId="5" borderId="0" xfId="0" applyFont="1" applyFill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wrapText="1"/>
    </xf>
    <xf numFmtId="0" fontId="10" fillId="0" borderId="16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5" borderId="21" xfId="0" applyFont="1" applyFill="1" applyBorder="1" applyAlignment="1">
      <alignment horizontal="center" wrapText="1"/>
    </xf>
    <xf numFmtId="0" fontId="18" fillId="5" borderId="0" xfId="0" applyFont="1" applyFill="1" applyAlignment="1">
      <alignment horizontal="center"/>
    </xf>
    <xf numFmtId="0" fontId="18" fillId="0" borderId="0" xfId="0" applyFont="1" applyAlignment="1">
      <alignment horizontal="center" vertical="top"/>
    </xf>
    <xf numFmtId="0" fontId="14" fillId="5" borderId="22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5" borderId="0" xfId="0" applyFont="1" applyFill="1" applyAlignment="1">
      <alignment horizontal="left" wrapText="1"/>
    </xf>
    <xf numFmtId="0" fontId="16" fillId="5" borderId="22" xfId="0" applyFont="1" applyFill="1" applyBorder="1" applyAlignment="1">
      <alignment horizontal="center" wrapText="1"/>
    </xf>
    <xf numFmtId="0" fontId="15" fillId="0" borderId="17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15" fillId="0" borderId="18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576445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771775" y="4576445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14" sqref="E14"/>
    </sheetView>
  </sheetViews>
  <sheetFormatPr defaultColWidth="12.6640625" defaultRowHeight="15.75" customHeight="1"/>
  <cols>
    <col min="1" max="1" width="3.5" customWidth="1"/>
    <col min="2" max="2" width="14.6640625" style="32" customWidth="1"/>
    <col min="3" max="3" width="40.3359375" style="32" customWidth="1"/>
    <col min="4" max="4" width="35.5" style="32" customWidth="1"/>
    <col min="5" max="5" width="46.5" style="32" customWidth="1"/>
    <col min="6" max="6" width="25.8359375" style="32" customWidth="1"/>
    <col min="7" max="7" width="30.6640625" customWidth="1"/>
  </cols>
  <sheetData>
    <row r="1" ht="13.1" spans="1:26">
      <c r="A1" s="40"/>
      <c r="B1" s="47"/>
      <c r="C1" s="47"/>
      <c r="D1" s="47"/>
      <c r="E1" s="47"/>
      <c r="F1" s="47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18.75" spans="1:26">
      <c r="A2" s="40"/>
      <c r="B2" s="48"/>
      <c r="C2" s="49" t="s">
        <v>0</v>
      </c>
      <c r="D2" s="50"/>
      <c r="E2" s="50"/>
      <c r="F2" s="67"/>
      <c r="G2" s="68"/>
      <c r="H2" s="69"/>
      <c r="I2" s="71"/>
      <c r="J2" s="71"/>
      <c r="K2" s="71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18.75" spans="1:26">
      <c r="A3" s="40"/>
      <c r="B3" s="51"/>
      <c r="C3" s="52"/>
      <c r="D3" s="52"/>
      <c r="E3" s="52"/>
      <c r="F3" s="70"/>
      <c r="G3" s="40"/>
      <c r="H3" s="71"/>
      <c r="I3" s="71"/>
      <c r="J3" s="71"/>
      <c r="K3" s="7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37.5" spans="1:26">
      <c r="A4" s="40"/>
      <c r="B4" s="53" t="s">
        <v>1</v>
      </c>
      <c r="C4" s="54">
        <v>45937</v>
      </c>
      <c r="D4" s="55" t="s">
        <v>2</v>
      </c>
      <c r="E4" s="72" t="s">
        <v>3</v>
      </c>
      <c r="F4" s="73"/>
      <c r="G4" s="40"/>
      <c r="H4" s="71"/>
      <c r="I4" s="71"/>
      <c r="J4" s="71"/>
      <c r="K4" s="71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8.75" spans="1:26">
      <c r="A5" s="40"/>
      <c r="B5" s="53" t="s">
        <v>4</v>
      </c>
      <c r="C5" s="56" t="s">
        <v>5</v>
      </c>
      <c r="D5" s="55" t="s">
        <v>6</v>
      </c>
      <c r="E5" s="72" t="s">
        <v>7</v>
      </c>
      <c r="F5" s="73"/>
      <c r="G5" s="40"/>
      <c r="H5" s="71"/>
      <c r="I5" s="71"/>
      <c r="J5" s="71"/>
      <c r="K5" s="71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18.75" spans="1:26">
      <c r="A6" s="40"/>
      <c r="B6" s="53" t="s">
        <v>8</v>
      </c>
      <c r="C6" s="56" t="s">
        <v>9</v>
      </c>
      <c r="D6" s="57"/>
      <c r="E6" s="57"/>
      <c r="F6" s="73"/>
      <c r="G6" s="40"/>
      <c r="H6" s="71"/>
      <c r="I6" s="71"/>
      <c r="J6" s="71"/>
      <c r="K6" s="71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18.75" spans="1:26">
      <c r="A7" s="40"/>
      <c r="B7" s="58"/>
      <c r="C7" s="57"/>
      <c r="D7" s="57"/>
      <c r="E7" s="57"/>
      <c r="F7" s="73"/>
      <c r="G7" s="40"/>
      <c r="H7" s="71"/>
      <c r="I7" s="71"/>
      <c r="J7" s="71"/>
      <c r="K7" s="71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18.75" spans="1:26">
      <c r="A8" s="40"/>
      <c r="B8" s="59" t="s">
        <v>10</v>
      </c>
      <c r="C8" s="60" t="s">
        <v>11</v>
      </c>
      <c r="D8" s="60" t="s">
        <v>12</v>
      </c>
      <c r="E8" s="60" t="s">
        <v>13</v>
      </c>
      <c r="F8" s="60" t="s">
        <v>14</v>
      </c>
      <c r="G8" s="40"/>
      <c r="H8" s="71"/>
      <c r="I8" s="71"/>
      <c r="J8" s="71"/>
      <c r="K8" s="71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30" customHeight="1" spans="1:26">
      <c r="A9" s="40"/>
      <c r="B9" s="61" t="s">
        <v>15</v>
      </c>
      <c r="C9" s="62" t="s">
        <v>16</v>
      </c>
      <c r="D9" s="63"/>
      <c r="E9" s="63"/>
      <c r="F9" s="74"/>
      <c r="G9" s="40"/>
      <c r="H9" s="71"/>
      <c r="I9" s="71"/>
      <c r="J9" s="71"/>
      <c r="K9" s="71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63.75" customHeight="1" spans="1:26">
      <c r="A10" s="40"/>
      <c r="B10" s="61" t="s">
        <v>17</v>
      </c>
      <c r="C10" s="64" t="s">
        <v>18</v>
      </c>
      <c r="D10" s="64" t="s">
        <v>19</v>
      </c>
      <c r="E10" s="64" t="s">
        <v>20</v>
      </c>
      <c r="F10" s="75" t="s">
        <v>21</v>
      </c>
      <c r="G10" s="40"/>
      <c r="H10" s="71"/>
      <c r="I10" s="71"/>
      <c r="J10" s="71"/>
      <c r="K10" s="71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63" customHeight="1" spans="1:26">
      <c r="A11" s="40"/>
      <c r="B11" s="61" t="s">
        <v>22</v>
      </c>
      <c r="C11" s="64" t="s">
        <v>23</v>
      </c>
      <c r="D11" s="64" t="s">
        <v>24</v>
      </c>
      <c r="E11" s="64" t="s">
        <v>25</v>
      </c>
      <c r="F11" s="76"/>
      <c r="G11" s="40"/>
      <c r="H11" s="71"/>
      <c r="I11" s="71"/>
      <c r="J11" s="71"/>
      <c r="K11" s="71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35.25" customHeight="1" spans="1:26">
      <c r="A12" s="40"/>
      <c r="B12" s="61" t="s">
        <v>26</v>
      </c>
      <c r="C12" s="65" t="s">
        <v>27</v>
      </c>
      <c r="D12" s="63"/>
      <c r="E12" s="63"/>
      <c r="F12" s="74"/>
      <c r="G12" s="40"/>
      <c r="H12" s="71"/>
      <c r="I12" s="71"/>
      <c r="J12" s="71"/>
      <c r="K12" s="71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15" spans="1:26">
      <c r="A13" s="40"/>
      <c r="B13" s="66"/>
      <c r="C13" s="47"/>
      <c r="D13" s="47"/>
      <c r="E13" s="47"/>
      <c r="F13" s="47"/>
      <c r="G13" s="40"/>
      <c r="H13" s="71"/>
      <c r="I13" s="71"/>
      <c r="J13" s="71"/>
      <c r="K13" s="71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15" spans="1:26">
      <c r="A14" s="40"/>
      <c r="B14" s="66"/>
      <c r="C14" s="66"/>
      <c r="D14" s="66"/>
      <c r="E14" s="66"/>
      <c r="F14" s="66"/>
      <c r="G14" s="71"/>
      <c r="H14" s="71"/>
      <c r="I14" s="71"/>
      <c r="J14" s="71"/>
      <c r="K14" s="71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13.1" spans="1:26">
      <c r="A15" s="40"/>
      <c r="B15" s="47"/>
      <c r="C15" s="47"/>
      <c r="D15" s="47"/>
      <c r="E15" s="47"/>
      <c r="F15" s="47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13.1" spans="1:26">
      <c r="A16" s="40"/>
      <c r="B16" s="47"/>
      <c r="C16" s="47"/>
      <c r="D16" s="47"/>
      <c r="E16" s="47"/>
      <c r="F16" s="47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13.1" spans="1:26">
      <c r="A17" s="40"/>
      <c r="B17" s="47"/>
      <c r="C17" s="47"/>
      <c r="D17" s="47"/>
      <c r="E17" s="47"/>
      <c r="F17" s="47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13.1" spans="1:26">
      <c r="A18" s="40"/>
      <c r="B18" s="47"/>
      <c r="C18" s="47"/>
      <c r="D18" s="47"/>
      <c r="E18" s="47"/>
      <c r="F18" s="47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13.1" spans="1:26">
      <c r="A19" s="40"/>
      <c r="B19" s="47"/>
      <c r="C19" s="47"/>
      <c r="D19" s="47"/>
      <c r="E19" s="47"/>
      <c r="F19" s="4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13.1" spans="1:26">
      <c r="A20" s="40"/>
      <c r="B20" s="47"/>
      <c r="C20" s="47"/>
      <c r="D20" s="47"/>
      <c r="E20" s="47"/>
      <c r="F20" s="4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3.1" spans="1:26">
      <c r="A21" s="40"/>
      <c r="B21" s="47"/>
      <c r="C21" s="47"/>
      <c r="D21" s="47"/>
      <c r="E21" s="47"/>
      <c r="F21" s="4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13.1" spans="1:26">
      <c r="A22" s="40"/>
      <c r="B22" s="47"/>
      <c r="C22" s="47"/>
      <c r="D22" s="47"/>
      <c r="E22" s="47"/>
      <c r="F22" s="4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13.1" spans="1:26">
      <c r="A23" s="40"/>
      <c r="B23" s="47"/>
      <c r="C23" s="47"/>
      <c r="D23" s="47"/>
      <c r="E23" s="47"/>
      <c r="F23" s="4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13.1" spans="1:26">
      <c r="A24" s="40"/>
      <c r="B24" s="47"/>
      <c r="C24" s="47"/>
      <c r="D24" s="47"/>
      <c r="E24" s="47"/>
      <c r="F24" s="4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13.1" spans="1:26">
      <c r="A25" s="40"/>
      <c r="B25" s="47"/>
      <c r="C25" s="47"/>
      <c r="D25" s="47"/>
      <c r="E25" s="47"/>
      <c r="F25" s="4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3.1" spans="1:26">
      <c r="A26" s="40"/>
      <c r="B26" s="47"/>
      <c r="C26" s="47"/>
      <c r="D26" s="47"/>
      <c r="E26" s="47"/>
      <c r="F26" s="47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13.1" spans="1:26">
      <c r="A27" s="40"/>
      <c r="B27" s="47"/>
      <c r="C27" s="47"/>
      <c r="D27" s="47"/>
      <c r="E27" s="47"/>
      <c r="F27" s="4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13.1" spans="1:26">
      <c r="A28" s="40"/>
      <c r="B28" s="47"/>
      <c r="C28" s="47"/>
      <c r="D28" s="47"/>
      <c r="E28" s="47"/>
      <c r="F28" s="4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13.1" spans="1:26">
      <c r="A29" s="40"/>
      <c r="B29" s="47"/>
      <c r="C29" s="47"/>
      <c r="D29" s="47"/>
      <c r="E29" s="47"/>
      <c r="F29" s="4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13.1" spans="1:26">
      <c r="A30" s="40"/>
      <c r="B30" s="47"/>
      <c r="C30" s="47"/>
      <c r="D30" s="47"/>
      <c r="E30" s="47"/>
      <c r="F30" s="4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13.1" spans="1:26">
      <c r="A31" s="40"/>
      <c r="B31" s="47"/>
      <c r="C31" s="47"/>
      <c r="D31" s="47"/>
      <c r="E31" s="47"/>
      <c r="F31" s="4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3.1" spans="1:26">
      <c r="A32" s="40"/>
      <c r="B32" s="47"/>
      <c r="C32" s="47"/>
      <c r="D32" s="47"/>
      <c r="E32" s="47"/>
      <c r="F32" s="4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3.1" spans="1:26">
      <c r="A33" s="40"/>
      <c r="B33" s="47"/>
      <c r="C33" s="47"/>
      <c r="D33" s="47"/>
      <c r="E33" s="47"/>
      <c r="F33" s="4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3.1" spans="1:26">
      <c r="A34" s="40"/>
      <c r="B34" s="47"/>
      <c r="C34" s="47"/>
      <c r="D34" s="47"/>
      <c r="E34" s="47"/>
      <c r="F34" s="4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13.1" spans="1:26">
      <c r="A35" s="40"/>
      <c r="B35" s="47"/>
      <c r="C35" s="47"/>
      <c r="D35" s="47"/>
      <c r="E35" s="47"/>
      <c r="F35" s="4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3.1" spans="1:26">
      <c r="A36" s="40"/>
      <c r="B36" s="47"/>
      <c r="C36" s="47"/>
      <c r="D36" s="47"/>
      <c r="E36" s="47"/>
      <c r="F36" s="4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3.1" spans="1:26">
      <c r="A37" s="40"/>
      <c r="B37" s="47"/>
      <c r="C37" s="47"/>
      <c r="D37" s="47"/>
      <c r="E37" s="47"/>
      <c r="F37" s="4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3.1" spans="1:26">
      <c r="A38" s="40"/>
      <c r="B38" s="47"/>
      <c r="C38" s="47"/>
      <c r="D38" s="47"/>
      <c r="E38" s="47"/>
      <c r="F38" s="4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3.1" spans="1:26">
      <c r="A39" s="40"/>
      <c r="B39" s="47"/>
      <c r="C39" s="47"/>
      <c r="D39" s="47"/>
      <c r="E39" s="47"/>
      <c r="F39" s="4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3.1" spans="1:26">
      <c r="A40" s="40"/>
      <c r="B40" s="47"/>
      <c r="C40" s="47"/>
      <c r="D40" s="47"/>
      <c r="E40" s="47"/>
      <c r="F40" s="4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3.1" spans="1:26">
      <c r="A41" s="40"/>
      <c r="B41" s="47"/>
      <c r="C41" s="47"/>
      <c r="D41" s="47"/>
      <c r="E41" s="47"/>
      <c r="F41" s="4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3.1" spans="1:26">
      <c r="A42" s="40"/>
      <c r="B42" s="47"/>
      <c r="C42" s="47"/>
      <c r="D42" s="47"/>
      <c r="E42" s="47"/>
      <c r="F42" s="4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3.1" spans="1:26">
      <c r="A43" s="40"/>
      <c r="B43" s="47"/>
      <c r="C43" s="47"/>
      <c r="D43" s="47"/>
      <c r="E43" s="47"/>
      <c r="F43" s="4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3.1" spans="1:26">
      <c r="A44" s="40"/>
      <c r="B44" s="47"/>
      <c r="C44" s="47"/>
      <c r="D44" s="47"/>
      <c r="E44" s="47"/>
      <c r="F44" s="4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3.1" spans="1:26">
      <c r="A45" s="40"/>
      <c r="B45" s="47"/>
      <c r="C45" s="47"/>
      <c r="D45" s="47"/>
      <c r="E45" s="47"/>
      <c r="F45" s="4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3.1" spans="1:26">
      <c r="A46" s="40"/>
      <c r="B46" s="47"/>
      <c r="C46" s="47"/>
      <c r="D46" s="47"/>
      <c r="E46" s="47"/>
      <c r="F46" s="4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3.1" spans="1:26">
      <c r="A47" s="40"/>
      <c r="B47" s="47"/>
      <c r="C47" s="47"/>
      <c r="D47" s="47"/>
      <c r="E47" s="47"/>
      <c r="F47" s="4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3.1" spans="1:26">
      <c r="A48" s="40"/>
      <c r="B48" s="47"/>
      <c r="C48" s="47"/>
      <c r="D48" s="47"/>
      <c r="E48" s="47"/>
      <c r="F48" s="4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3.1" spans="1:26">
      <c r="A49" s="40"/>
      <c r="B49" s="47"/>
      <c r="C49" s="47"/>
      <c r="D49" s="47"/>
      <c r="E49" s="47"/>
      <c r="F49" s="4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3.1" spans="1:26">
      <c r="A50" s="40"/>
      <c r="B50" s="47"/>
      <c r="C50" s="47"/>
      <c r="D50" s="47"/>
      <c r="E50" s="47"/>
      <c r="F50" s="4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3.1" spans="1:26">
      <c r="A51" s="40"/>
      <c r="B51" s="47"/>
      <c r="C51" s="47"/>
      <c r="D51" s="47"/>
      <c r="E51" s="47"/>
      <c r="F51" s="4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3.1" spans="1:26">
      <c r="A52" s="40"/>
      <c r="B52" s="47"/>
      <c r="C52" s="47"/>
      <c r="D52" s="47"/>
      <c r="E52" s="47"/>
      <c r="F52" s="4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3.1" spans="1:26">
      <c r="A53" s="40"/>
      <c r="B53" s="47"/>
      <c r="C53" s="47"/>
      <c r="D53" s="47"/>
      <c r="E53" s="47"/>
      <c r="F53" s="4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3.1" spans="1:26">
      <c r="A54" s="40"/>
      <c r="B54" s="47"/>
      <c r="C54" s="47"/>
      <c r="D54" s="47"/>
      <c r="E54" s="47"/>
      <c r="F54" s="47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3.1" spans="1:26">
      <c r="A55" s="40"/>
      <c r="B55" s="47"/>
      <c r="C55" s="47"/>
      <c r="D55" s="47"/>
      <c r="E55" s="47"/>
      <c r="F55" s="47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3.1" spans="1:26">
      <c r="A56" s="40"/>
      <c r="B56" s="47"/>
      <c r="C56" s="47"/>
      <c r="D56" s="47"/>
      <c r="E56" s="47"/>
      <c r="F56" s="47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3.1" spans="1:26">
      <c r="A57" s="40"/>
      <c r="B57" s="47"/>
      <c r="C57" s="47"/>
      <c r="D57" s="47"/>
      <c r="E57" s="47"/>
      <c r="F57" s="47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3.1" spans="1:26">
      <c r="A58" s="40"/>
      <c r="B58" s="47"/>
      <c r="C58" s="47"/>
      <c r="D58" s="47"/>
      <c r="E58" s="47"/>
      <c r="F58" s="47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3.1" spans="1:26">
      <c r="A59" s="40"/>
      <c r="B59" s="47"/>
      <c r="C59" s="47"/>
      <c r="D59" s="47"/>
      <c r="E59" s="47"/>
      <c r="F59" s="47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3.1" spans="1:26">
      <c r="A60" s="40"/>
      <c r="B60" s="47"/>
      <c r="C60" s="47"/>
      <c r="D60" s="47"/>
      <c r="E60" s="47"/>
      <c r="F60" s="47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3.1" spans="1:26">
      <c r="A61" s="40"/>
      <c r="B61" s="47"/>
      <c r="C61" s="47"/>
      <c r="D61" s="47"/>
      <c r="E61" s="47"/>
      <c r="F61" s="47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3.1" spans="1:26">
      <c r="A62" s="40"/>
      <c r="B62" s="47"/>
      <c r="C62" s="47"/>
      <c r="D62" s="47"/>
      <c r="E62" s="47"/>
      <c r="F62" s="47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3.1" spans="1:26">
      <c r="A63" s="40"/>
      <c r="B63" s="47"/>
      <c r="C63" s="47"/>
      <c r="D63" s="47"/>
      <c r="E63" s="47"/>
      <c r="F63" s="47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3.1" spans="1:26">
      <c r="A64" s="40"/>
      <c r="B64" s="47"/>
      <c r="C64" s="47"/>
      <c r="D64" s="47"/>
      <c r="E64" s="47"/>
      <c r="F64" s="47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3.1" spans="1:26">
      <c r="A65" s="40"/>
      <c r="B65" s="47"/>
      <c r="C65" s="47"/>
      <c r="D65" s="47"/>
      <c r="E65" s="47"/>
      <c r="F65" s="47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3.1" spans="1:26">
      <c r="A66" s="40"/>
      <c r="B66" s="47"/>
      <c r="C66" s="47"/>
      <c r="D66" s="47"/>
      <c r="E66" s="47"/>
      <c r="F66" s="47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3.1" spans="1:26">
      <c r="A67" s="40"/>
      <c r="B67" s="47"/>
      <c r="C67" s="47"/>
      <c r="D67" s="47"/>
      <c r="E67" s="47"/>
      <c r="F67" s="47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3.1" spans="1:26">
      <c r="A68" s="40"/>
      <c r="B68" s="47"/>
      <c r="C68" s="47"/>
      <c r="D68" s="47"/>
      <c r="E68" s="47"/>
      <c r="F68" s="47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3.1" spans="1:26">
      <c r="A69" s="40"/>
      <c r="B69" s="47"/>
      <c r="C69" s="47"/>
      <c r="D69" s="47"/>
      <c r="E69" s="47"/>
      <c r="F69" s="47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3.1" spans="1:26">
      <c r="A70" s="40"/>
      <c r="B70" s="47"/>
      <c r="C70" s="47"/>
      <c r="D70" s="47"/>
      <c r="E70" s="47"/>
      <c r="F70" s="47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3.1" spans="1:26">
      <c r="A71" s="40"/>
      <c r="B71" s="47"/>
      <c r="C71" s="47"/>
      <c r="D71" s="47"/>
      <c r="E71" s="47"/>
      <c r="F71" s="47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3.1" spans="1:26">
      <c r="A72" s="40"/>
      <c r="B72" s="47"/>
      <c r="C72" s="47"/>
      <c r="D72" s="47"/>
      <c r="E72" s="47"/>
      <c r="F72" s="47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3.1" spans="1:26">
      <c r="A73" s="40"/>
      <c r="B73" s="47"/>
      <c r="C73" s="47"/>
      <c r="D73" s="47"/>
      <c r="E73" s="47"/>
      <c r="F73" s="47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3.1" spans="1:26">
      <c r="A74" s="40"/>
      <c r="B74" s="47"/>
      <c r="C74" s="47"/>
      <c r="D74" s="47"/>
      <c r="E74" s="47"/>
      <c r="F74" s="47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3.1" spans="1:26">
      <c r="A75" s="40"/>
      <c r="B75" s="47"/>
      <c r="C75" s="47"/>
      <c r="D75" s="47"/>
      <c r="E75" s="47"/>
      <c r="F75" s="47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3.1" spans="1:26">
      <c r="A76" s="40"/>
      <c r="B76" s="47"/>
      <c r="C76" s="47"/>
      <c r="D76" s="47"/>
      <c r="E76" s="47"/>
      <c r="F76" s="47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3.1" spans="1:26">
      <c r="A77" s="40"/>
      <c r="B77" s="47"/>
      <c r="C77" s="47"/>
      <c r="D77" s="47"/>
      <c r="E77" s="47"/>
      <c r="F77" s="47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3.1" spans="1:26">
      <c r="A78" s="40"/>
      <c r="B78" s="47"/>
      <c r="C78" s="47"/>
      <c r="D78" s="47"/>
      <c r="E78" s="47"/>
      <c r="F78" s="47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3.1" spans="1:26">
      <c r="A79" s="40"/>
      <c r="B79" s="47"/>
      <c r="C79" s="47"/>
      <c r="D79" s="47"/>
      <c r="E79" s="47"/>
      <c r="F79" s="47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3.1" spans="1:26">
      <c r="A80" s="40"/>
      <c r="B80" s="47"/>
      <c r="C80" s="47"/>
      <c r="D80" s="47"/>
      <c r="E80" s="47"/>
      <c r="F80" s="47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3.1" spans="1:26">
      <c r="A81" s="40"/>
      <c r="B81" s="47"/>
      <c r="C81" s="47"/>
      <c r="D81" s="47"/>
      <c r="E81" s="47"/>
      <c r="F81" s="47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3.1" spans="1:26">
      <c r="A82" s="40"/>
      <c r="B82" s="47"/>
      <c r="C82" s="47"/>
      <c r="D82" s="47"/>
      <c r="E82" s="47"/>
      <c r="F82" s="47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3.1" spans="1:26">
      <c r="A83" s="40"/>
      <c r="B83" s="47"/>
      <c r="C83" s="47"/>
      <c r="D83" s="47"/>
      <c r="E83" s="47"/>
      <c r="F83" s="47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3.1" spans="1:26">
      <c r="A84" s="40"/>
      <c r="B84" s="47"/>
      <c r="C84" s="47"/>
      <c r="D84" s="47"/>
      <c r="E84" s="47"/>
      <c r="F84" s="47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3.1" spans="1:26">
      <c r="A85" s="40"/>
      <c r="B85" s="47"/>
      <c r="C85" s="47"/>
      <c r="D85" s="47"/>
      <c r="E85" s="47"/>
      <c r="F85" s="47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3.1" spans="1:26">
      <c r="A86" s="40"/>
      <c r="B86" s="47"/>
      <c r="C86" s="47"/>
      <c r="D86" s="47"/>
      <c r="E86" s="47"/>
      <c r="F86" s="47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3.1" spans="1:26">
      <c r="A87" s="40"/>
      <c r="B87" s="47"/>
      <c r="C87" s="47"/>
      <c r="D87" s="47"/>
      <c r="E87" s="47"/>
      <c r="F87" s="47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3.1" spans="1:26">
      <c r="A88" s="40"/>
      <c r="B88" s="47"/>
      <c r="C88" s="47"/>
      <c r="D88" s="47"/>
      <c r="E88" s="47"/>
      <c r="F88" s="47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3.1" spans="1:26">
      <c r="A89" s="40"/>
      <c r="B89" s="47"/>
      <c r="C89" s="47"/>
      <c r="D89" s="47"/>
      <c r="E89" s="47"/>
      <c r="F89" s="47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3.1" spans="1:26">
      <c r="A90" s="40"/>
      <c r="B90" s="47"/>
      <c r="C90" s="47"/>
      <c r="D90" s="47"/>
      <c r="E90" s="47"/>
      <c r="F90" s="47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3.1" spans="1:26">
      <c r="A91" s="40"/>
      <c r="B91" s="47"/>
      <c r="C91" s="47"/>
      <c r="D91" s="47"/>
      <c r="E91" s="47"/>
      <c r="F91" s="47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3.1" spans="1:26">
      <c r="A92" s="40"/>
      <c r="B92" s="47"/>
      <c r="C92" s="47"/>
      <c r="D92" s="47"/>
      <c r="E92" s="47"/>
      <c r="F92" s="47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3.1" spans="1:26">
      <c r="A93" s="40"/>
      <c r="B93" s="47"/>
      <c r="C93" s="47"/>
      <c r="D93" s="47"/>
      <c r="E93" s="47"/>
      <c r="F93" s="47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3.1" spans="1:26">
      <c r="A94" s="40"/>
      <c r="B94" s="47"/>
      <c r="C94" s="47"/>
      <c r="D94" s="47"/>
      <c r="E94" s="47"/>
      <c r="F94" s="47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3.1" spans="1:26">
      <c r="A95" s="40"/>
      <c r="B95" s="47"/>
      <c r="C95" s="47"/>
      <c r="D95" s="47"/>
      <c r="E95" s="47"/>
      <c r="F95" s="47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3.1" spans="1:26">
      <c r="A96" s="40"/>
      <c r="B96" s="47"/>
      <c r="C96" s="47"/>
      <c r="D96" s="47"/>
      <c r="E96" s="47"/>
      <c r="F96" s="47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3.1" spans="1:26">
      <c r="A97" s="40"/>
      <c r="B97" s="47"/>
      <c r="C97" s="47"/>
      <c r="D97" s="47"/>
      <c r="E97" s="47"/>
      <c r="F97" s="47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3.1" spans="1:26">
      <c r="A98" s="40"/>
      <c r="B98" s="47"/>
      <c r="C98" s="47"/>
      <c r="D98" s="47"/>
      <c r="E98" s="47"/>
      <c r="F98" s="47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3.1" spans="1:26">
      <c r="A99" s="40"/>
      <c r="B99" s="47"/>
      <c r="C99" s="47"/>
      <c r="D99" s="47"/>
      <c r="E99" s="47"/>
      <c r="F99" s="47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3.1" spans="1:26">
      <c r="A100" s="40"/>
      <c r="B100" s="47"/>
      <c r="C100" s="47"/>
      <c r="D100" s="47"/>
      <c r="E100" s="47"/>
      <c r="F100" s="47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1" spans="1:26">
      <c r="A101" s="40"/>
      <c r="B101" s="47"/>
      <c r="C101" s="47"/>
      <c r="D101" s="47"/>
      <c r="E101" s="47"/>
      <c r="F101" s="47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3.1" spans="1:26">
      <c r="A102" s="40"/>
      <c r="B102" s="47"/>
      <c r="C102" s="47"/>
      <c r="D102" s="47"/>
      <c r="E102" s="47"/>
      <c r="F102" s="47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3.1" spans="1:26">
      <c r="A103" s="40"/>
      <c r="B103" s="47"/>
      <c r="C103" s="47"/>
      <c r="D103" s="47"/>
      <c r="E103" s="47"/>
      <c r="F103" s="47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3.1" spans="1:26">
      <c r="A104" s="40"/>
      <c r="B104" s="47"/>
      <c r="C104" s="47"/>
      <c r="D104" s="47"/>
      <c r="E104" s="47"/>
      <c r="F104" s="47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3.1" spans="1:26">
      <c r="A105" s="40"/>
      <c r="B105" s="47"/>
      <c r="C105" s="47"/>
      <c r="D105" s="47"/>
      <c r="E105" s="47"/>
      <c r="F105" s="47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3.1" spans="1:26">
      <c r="A106" s="40"/>
      <c r="B106" s="47"/>
      <c r="C106" s="47"/>
      <c r="D106" s="47"/>
      <c r="E106" s="47"/>
      <c r="F106" s="47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3.1" spans="1:26">
      <c r="A107" s="40"/>
      <c r="B107" s="47"/>
      <c r="C107" s="47"/>
      <c r="D107" s="47"/>
      <c r="E107" s="47"/>
      <c r="F107" s="47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3.1" spans="1:26">
      <c r="A108" s="40"/>
      <c r="B108" s="47"/>
      <c r="C108" s="47"/>
      <c r="D108" s="47"/>
      <c r="E108" s="47"/>
      <c r="F108" s="47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3.1" spans="1:26">
      <c r="A109" s="40"/>
      <c r="B109" s="47"/>
      <c r="C109" s="47"/>
      <c r="D109" s="47"/>
      <c r="E109" s="47"/>
      <c r="F109" s="47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3.1" spans="1:26">
      <c r="A110" s="40"/>
      <c r="B110" s="47"/>
      <c r="C110" s="47"/>
      <c r="D110" s="47"/>
      <c r="E110" s="47"/>
      <c r="F110" s="47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3.1" spans="1:26">
      <c r="A111" s="40"/>
      <c r="B111" s="47"/>
      <c r="C111" s="47"/>
      <c r="D111" s="47"/>
      <c r="E111" s="47"/>
      <c r="F111" s="47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3.1" spans="1:26">
      <c r="A112" s="40"/>
      <c r="B112" s="47"/>
      <c r="C112" s="47"/>
      <c r="D112" s="47"/>
      <c r="E112" s="47"/>
      <c r="F112" s="47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3.1" spans="1:26">
      <c r="A113" s="40"/>
      <c r="B113" s="47"/>
      <c r="C113" s="47"/>
      <c r="D113" s="47"/>
      <c r="E113" s="47"/>
      <c r="F113" s="47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3.1" spans="1:26">
      <c r="A114" s="40"/>
      <c r="B114" s="47"/>
      <c r="C114" s="47"/>
      <c r="D114" s="47"/>
      <c r="E114" s="47"/>
      <c r="F114" s="47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3.1" spans="1:26">
      <c r="A115" s="40"/>
      <c r="B115" s="47"/>
      <c r="C115" s="47"/>
      <c r="D115" s="47"/>
      <c r="E115" s="47"/>
      <c r="F115" s="47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3.1" spans="1:26">
      <c r="A116" s="40"/>
      <c r="B116" s="47"/>
      <c r="C116" s="47"/>
      <c r="D116" s="47"/>
      <c r="E116" s="47"/>
      <c r="F116" s="47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3.1" spans="1:26">
      <c r="A117" s="40"/>
      <c r="B117" s="47"/>
      <c r="C117" s="47"/>
      <c r="D117" s="47"/>
      <c r="E117" s="47"/>
      <c r="F117" s="47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3.1" spans="1:26">
      <c r="A118" s="40"/>
      <c r="B118" s="47"/>
      <c r="C118" s="47"/>
      <c r="D118" s="47"/>
      <c r="E118" s="47"/>
      <c r="F118" s="47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3.1" spans="1:26">
      <c r="A119" s="40"/>
      <c r="B119" s="47"/>
      <c r="C119" s="47"/>
      <c r="D119" s="47"/>
      <c r="E119" s="47"/>
      <c r="F119" s="47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3.1" spans="1:26">
      <c r="A120" s="40"/>
      <c r="B120" s="47"/>
      <c r="C120" s="47"/>
      <c r="D120" s="47"/>
      <c r="E120" s="47"/>
      <c r="F120" s="47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3.1" spans="1:26">
      <c r="A121" s="40"/>
      <c r="B121" s="47"/>
      <c r="C121" s="47"/>
      <c r="D121" s="47"/>
      <c r="E121" s="47"/>
      <c r="F121" s="47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3.1" spans="1:26">
      <c r="A122" s="40"/>
      <c r="B122" s="47"/>
      <c r="C122" s="47"/>
      <c r="D122" s="47"/>
      <c r="E122" s="47"/>
      <c r="F122" s="47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3.1" spans="1:26">
      <c r="A123" s="40"/>
      <c r="B123" s="47"/>
      <c r="C123" s="47"/>
      <c r="D123" s="47"/>
      <c r="E123" s="47"/>
      <c r="F123" s="47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3.1" spans="1:26">
      <c r="A124" s="40"/>
      <c r="B124" s="47"/>
      <c r="C124" s="47"/>
      <c r="D124" s="47"/>
      <c r="E124" s="47"/>
      <c r="F124" s="47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3.1" spans="1:26">
      <c r="A125" s="40"/>
      <c r="B125" s="47"/>
      <c r="C125" s="47"/>
      <c r="D125" s="47"/>
      <c r="E125" s="47"/>
      <c r="F125" s="47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3.1" spans="1:26">
      <c r="A126" s="40"/>
      <c r="B126" s="47"/>
      <c r="C126" s="47"/>
      <c r="D126" s="47"/>
      <c r="E126" s="47"/>
      <c r="F126" s="47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3.1" spans="1:26">
      <c r="A127" s="40"/>
      <c r="B127" s="47"/>
      <c r="C127" s="47"/>
      <c r="D127" s="47"/>
      <c r="E127" s="47"/>
      <c r="F127" s="47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3.1" spans="1:26">
      <c r="A128" s="40"/>
      <c r="B128" s="47"/>
      <c r="C128" s="47"/>
      <c r="D128" s="47"/>
      <c r="E128" s="47"/>
      <c r="F128" s="47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3.1" spans="1:26">
      <c r="A129" s="40"/>
      <c r="B129" s="47"/>
      <c r="C129" s="47"/>
      <c r="D129" s="47"/>
      <c r="E129" s="47"/>
      <c r="F129" s="47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3.1" spans="1:26">
      <c r="A130" s="40"/>
      <c r="B130" s="47"/>
      <c r="C130" s="47"/>
      <c r="D130" s="47"/>
      <c r="E130" s="47"/>
      <c r="F130" s="47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3.1" spans="1:26">
      <c r="A131" s="40"/>
      <c r="B131" s="47"/>
      <c r="C131" s="47"/>
      <c r="D131" s="47"/>
      <c r="E131" s="47"/>
      <c r="F131" s="47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3.1" spans="1:26">
      <c r="A132" s="40"/>
      <c r="B132" s="47"/>
      <c r="C132" s="47"/>
      <c r="D132" s="47"/>
      <c r="E132" s="47"/>
      <c r="F132" s="47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3.1" spans="1:26">
      <c r="A133" s="40"/>
      <c r="B133" s="47"/>
      <c r="C133" s="47"/>
      <c r="D133" s="47"/>
      <c r="E133" s="47"/>
      <c r="F133" s="47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3.1" spans="1:26">
      <c r="A134" s="40"/>
      <c r="B134" s="47"/>
      <c r="C134" s="47"/>
      <c r="D134" s="47"/>
      <c r="E134" s="47"/>
      <c r="F134" s="47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3.1" spans="1:26">
      <c r="A135" s="40"/>
      <c r="B135" s="47"/>
      <c r="C135" s="47"/>
      <c r="D135" s="47"/>
      <c r="E135" s="47"/>
      <c r="F135" s="47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3.1" spans="1:26">
      <c r="A136" s="40"/>
      <c r="B136" s="47"/>
      <c r="C136" s="47"/>
      <c r="D136" s="47"/>
      <c r="E136" s="47"/>
      <c r="F136" s="47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3.1" spans="1:26">
      <c r="A137" s="40"/>
      <c r="B137" s="47"/>
      <c r="C137" s="47"/>
      <c r="D137" s="47"/>
      <c r="E137" s="47"/>
      <c r="F137" s="47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3.1" spans="1:26">
      <c r="A138" s="40"/>
      <c r="B138" s="47"/>
      <c r="C138" s="47"/>
      <c r="D138" s="47"/>
      <c r="E138" s="47"/>
      <c r="F138" s="47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3.1" spans="1:26">
      <c r="A139" s="40"/>
      <c r="B139" s="47"/>
      <c r="C139" s="47"/>
      <c r="D139" s="47"/>
      <c r="E139" s="47"/>
      <c r="F139" s="47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3.1" spans="1:26">
      <c r="A140" s="40"/>
      <c r="B140" s="47"/>
      <c r="C140" s="47"/>
      <c r="D140" s="47"/>
      <c r="E140" s="47"/>
      <c r="F140" s="47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3.1" spans="1:26">
      <c r="A141" s="40"/>
      <c r="B141" s="47"/>
      <c r="C141" s="47"/>
      <c r="D141" s="47"/>
      <c r="E141" s="47"/>
      <c r="F141" s="47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3.1" spans="1:26">
      <c r="A142" s="40"/>
      <c r="B142" s="47"/>
      <c r="C142" s="47"/>
      <c r="D142" s="47"/>
      <c r="E142" s="47"/>
      <c r="F142" s="47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3.1" spans="1:26">
      <c r="A143" s="40"/>
      <c r="B143" s="47"/>
      <c r="C143" s="47"/>
      <c r="D143" s="47"/>
      <c r="E143" s="47"/>
      <c r="F143" s="47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3.1" spans="1:26">
      <c r="A144" s="40"/>
      <c r="B144" s="47"/>
      <c r="C144" s="47"/>
      <c r="D144" s="47"/>
      <c r="E144" s="47"/>
      <c r="F144" s="47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3.1" spans="1:26">
      <c r="A145" s="40"/>
      <c r="B145" s="47"/>
      <c r="C145" s="47"/>
      <c r="D145" s="47"/>
      <c r="E145" s="47"/>
      <c r="F145" s="47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3.1" spans="1:26">
      <c r="A146" s="40"/>
      <c r="B146" s="47"/>
      <c r="C146" s="47"/>
      <c r="D146" s="47"/>
      <c r="E146" s="47"/>
      <c r="F146" s="47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3.1" spans="1:26">
      <c r="A147" s="40"/>
      <c r="B147" s="47"/>
      <c r="C147" s="47"/>
      <c r="D147" s="47"/>
      <c r="E147" s="47"/>
      <c r="F147" s="47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3.1" spans="1:26">
      <c r="A148" s="40"/>
      <c r="B148" s="47"/>
      <c r="C148" s="47"/>
      <c r="D148" s="47"/>
      <c r="E148" s="47"/>
      <c r="F148" s="47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3.1" spans="1:26">
      <c r="A149" s="40"/>
      <c r="B149" s="47"/>
      <c r="C149" s="47"/>
      <c r="D149" s="47"/>
      <c r="E149" s="47"/>
      <c r="F149" s="47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3.1" spans="1:26">
      <c r="A150" s="40"/>
      <c r="B150" s="47"/>
      <c r="C150" s="47"/>
      <c r="D150" s="47"/>
      <c r="E150" s="47"/>
      <c r="F150" s="47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3.1" spans="1:26">
      <c r="A151" s="40"/>
      <c r="B151" s="47"/>
      <c r="C151" s="47"/>
      <c r="D151" s="47"/>
      <c r="E151" s="47"/>
      <c r="F151" s="47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3.1" spans="1:26">
      <c r="A152" s="40"/>
      <c r="B152" s="47"/>
      <c r="C152" s="47"/>
      <c r="D152" s="47"/>
      <c r="E152" s="47"/>
      <c r="F152" s="47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3.1" spans="1:26">
      <c r="A153" s="40"/>
      <c r="B153" s="47"/>
      <c r="C153" s="47"/>
      <c r="D153" s="47"/>
      <c r="E153" s="47"/>
      <c r="F153" s="47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3.1" spans="1:26">
      <c r="A154" s="40"/>
      <c r="B154" s="47"/>
      <c r="C154" s="47"/>
      <c r="D154" s="47"/>
      <c r="E154" s="47"/>
      <c r="F154" s="47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3.1" spans="1:26">
      <c r="A155" s="40"/>
      <c r="B155" s="47"/>
      <c r="C155" s="47"/>
      <c r="D155" s="47"/>
      <c r="E155" s="47"/>
      <c r="F155" s="47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3.1" spans="1:26">
      <c r="A156" s="40"/>
      <c r="B156" s="47"/>
      <c r="C156" s="47"/>
      <c r="D156" s="47"/>
      <c r="E156" s="47"/>
      <c r="F156" s="47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3.1" spans="1:26">
      <c r="A157" s="40"/>
      <c r="B157" s="47"/>
      <c r="C157" s="47"/>
      <c r="D157" s="47"/>
      <c r="E157" s="47"/>
      <c r="F157" s="47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3.1" spans="1:26">
      <c r="A158" s="40"/>
      <c r="B158" s="47"/>
      <c r="C158" s="47"/>
      <c r="D158" s="47"/>
      <c r="E158" s="47"/>
      <c r="F158" s="47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3.1" spans="1:26">
      <c r="A159" s="40"/>
      <c r="B159" s="47"/>
      <c r="C159" s="47"/>
      <c r="D159" s="47"/>
      <c r="E159" s="47"/>
      <c r="F159" s="47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3.1" spans="1:26">
      <c r="A160" s="40"/>
      <c r="B160" s="47"/>
      <c r="C160" s="47"/>
      <c r="D160" s="47"/>
      <c r="E160" s="47"/>
      <c r="F160" s="47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3.1" spans="1:26">
      <c r="A161" s="40"/>
      <c r="B161" s="47"/>
      <c r="C161" s="47"/>
      <c r="D161" s="47"/>
      <c r="E161" s="47"/>
      <c r="F161" s="47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3.1" spans="1:26">
      <c r="A162" s="40"/>
      <c r="B162" s="47"/>
      <c r="C162" s="47"/>
      <c r="D162" s="47"/>
      <c r="E162" s="47"/>
      <c r="F162" s="47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3.1" spans="1:26">
      <c r="A163" s="40"/>
      <c r="B163" s="47"/>
      <c r="C163" s="47"/>
      <c r="D163" s="47"/>
      <c r="E163" s="47"/>
      <c r="F163" s="47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3.1" spans="1:26">
      <c r="A164" s="40"/>
      <c r="B164" s="47"/>
      <c r="C164" s="47"/>
      <c r="D164" s="47"/>
      <c r="E164" s="47"/>
      <c r="F164" s="47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3.1" spans="1:26">
      <c r="A165" s="40"/>
      <c r="B165" s="47"/>
      <c r="C165" s="47"/>
      <c r="D165" s="47"/>
      <c r="E165" s="47"/>
      <c r="F165" s="47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3.1" spans="1:26">
      <c r="A166" s="40"/>
      <c r="B166" s="47"/>
      <c r="C166" s="47"/>
      <c r="D166" s="47"/>
      <c r="E166" s="47"/>
      <c r="F166" s="47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3.1" spans="1:26">
      <c r="A167" s="40"/>
      <c r="B167" s="47"/>
      <c r="C167" s="47"/>
      <c r="D167" s="47"/>
      <c r="E167" s="47"/>
      <c r="F167" s="47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3.1" spans="1:26">
      <c r="A168" s="40"/>
      <c r="B168" s="47"/>
      <c r="C168" s="47"/>
      <c r="D168" s="47"/>
      <c r="E168" s="47"/>
      <c r="F168" s="47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3.1" spans="1:26">
      <c r="A169" s="40"/>
      <c r="B169" s="47"/>
      <c r="C169" s="47"/>
      <c r="D169" s="47"/>
      <c r="E169" s="47"/>
      <c r="F169" s="47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3.1" spans="1:26">
      <c r="A170" s="40"/>
      <c r="B170" s="47"/>
      <c r="C170" s="47"/>
      <c r="D170" s="47"/>
      <c r="E170" s="47"/>
      <c r="F170" s="47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3.1" spans="1:26">
      <c r="A171" s="40"/>
      <c r="B171" s="47"/>
      <c r="C171" s="47"/>
      <c r="D171" s="47"/>
      <c r="E171" s="47"/>
      <c r="F171" s="47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3.1" spans="1:26">
      <c r="A172" s="40"/>
      <c r="B172" s="47"/>
      <c r="C172" s="47"/>
      <c r="D172" s="47"/>
      <c r="E172" s="47"/>
      <c r="F172" s="47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3.1" spans="1:26">
      <c r="A173" s="40"/>
      <c r="B173" s="47"/>
      <c r="C173" s="47"/>
      <c r="D173" s="47"/>
      <c r="E173" s="47"/>
      <c r="F173" s="47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3.1" spans="1:26">
      <c r="A174" s="40"/>
      <c r="B174" s="47"/>
      <c r="C174" s="47"/>
      <c r="D174" s="47"/>
      <c r="E174" s="47"/>
      <c r="F174" s="47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3.1" spans="1:26">
      <c r="A175" s="40"/>
      <c r="B175" s="47"/>
      <c r="C175" s="47"/>
      <c r="D175" s="47"/>
      <c r="E175" s="47"/>
      <c r="F175" s="47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3.1" spans="1:26">
      <c r="A176" s="40"/>
      <c r="B176" s="47"/>
      <c r="C176" s="47"/>
      <c r="D176" s="47"/>
      <c r="E176" s="47"/>
      <c r="F176" s="47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3.1" spans="1:26">
      <c r="A177" s="40"/>
      <c r="B177" s="47"/>
      <c r="C177" s="47"/>
      <c r="D177" s="47"/>
      <c r="E177" s="47"/>
      <c r="F177" s="47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3.1" spans="1:26">
      <c r="A178" s="40"/>
      <c r="B178" s="47"/>
      <c r="C178" s="47"/>
      <c r="D178" s="47"/>
      <c r="E178" s="47"/>
      <c r="F178" s="47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3.1" spans="1:26">
      <c r="A179" s="40"/>
      <c r="B179" s="47"/>
      <c r="C179" s="47"/>
      <c r="D179" s="47"/>
      <c r="E179" s="47"/>
      <c r="F179" s="47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3.1" spans="1:26">
      <c r="A180" s="40"/>
      <c r="B180" s="47"/>
      <c r="C180" s="47"/>
      <c r="D180" s="47"/>
      <c r="E180" s="47"/>
      <c r="F180" s="47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3.1" spans="1:26">
      <c r="A181" s="40"/>
      <c r="B181" s="47"/>
      <c r="C181" s="47"/>
      <c r="D181" s="47"/>
      <c r="E181" s="47"/>
      <c r="F181" s="47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3.1" spans="1:26">
      <c r="A182" s="40"/>
      <c r="B182" s="47"/>
      <c r="C182" s="47"/>
      <c r="D182" s="47"/>
      <c r="E182" s="47"/>
      <c r="F182" s="47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3.1" spans="1:26">
      <c r="A183" s="40"/>
      <c r="B183" s="47"/>
      <c r="C183" s="47"/>
      <c r="D183" s="47"/>
      <c r="E183" s="47"/>
      <c r="F183" s="47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3.1" spans="1:26">
      <c r="A184" s="40"/>
      <c r="B184" s="47"/>
      <c r="C184" s="47"/>
      <c r="D184" s="47"/>
      <c r="E184" s="47"/>
      <c r="F184" s="47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3.1" spans="1:26">
      <c r="A185" s="40"/>
      <c r="B185" s="47"/>
      <c r="C185" s="47"/>
      <c r="D185" s="47"/>
      <c r="E185" s="47"/>
      <c r="F185" s="47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3.1" spans="1:26">
      <c r="A186" s="40"/>
      <c r="B186" s="47"/>
      <c r="C186" s="47"/>
      <c r="D186" s="47"/>
      <c r="E186" s="47"/>
      <c r="F186" s="47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3.1" spans="1:26">
      <c r="A187" s="40"/>
      <c r="B187" s="47"/>
      <c r="C187" s="47"/>
      <c r="D187" s="47"/>
      <c r="E187" s="47"/>
      <c r="F187" s="47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3.1" spans="1:26">
      <c r="A188" s="40"/>
      <c r="B188" s="47"/>
      <c r="C188" s="47"/>
      <c r="D188" s="47"/>
      <c r="E188" s="47"/>
      <c r="F188" s="47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3.1" spans="1:26">
      <c r="A189" s="40"/>
      <c r="B189" s="47"/>
      <c r="C189" s="47"/>
      <c r="D189" s="47"/>
      <c r="E189" s="47"/>
      <c r="F189" s="47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3.1" spans="1:26">
      <c r="A190" s="40"/>
      <c r="B190" s="47"/>
      <c r="C190" s="47"/>
      <c r="D190" s="47"/>
      <c r="E190" s="47"/>
      <c r="F190" s="47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3.1" spans="1:26">
      <c r="A191" s="40"/>
      <c r="B191" s="47"/>
      <c r="C191" s="47"/>
      <c r="D191" s="47"/>
      <c r="E191" s="47"/>
      <c r="F191" s="47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3.1" spans="1:26">
      <c r="A192" s="40"/>
      <c r="B192" s="47"/>
      <c r="C192" s="47"/>
      <c r="D192" s="47"/>
      <c r="E192" s="47"/>
      <c r="F192" s="47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3.1" spans="1:26">
      <c r="A193" s="40"/>
      <c r="B193" s="47"/>
      <c r="C193" s="47"/>
      <c r="D193" s="47"/>
      <c r="E193" s="47"/>
      <c r="F193" s="47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3.1" spans="1:26">
      <c r="A194" s="40"/>
      <c r="B194" s="47"/>
      <c r="C194" s="47"/>
      <c r="D194" s="47"/>
      <c r="E194" s="47"/>
      <c r="F194" s="47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3.1" spans="1:26">
      <c r="A195" s="40"/>
      <c r="B195" s="47"/>
      <c r="C195" s="47"/>
      <c r="D195" s="47"/>
      <c r="E195" s="47"/>
      <c r="F195" s="47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3.1" spans="1:26">
      <c r="A196" s="40"/>
      <c r="B196" s="47"/>
      <c r="C196" s="47"/>
      <c r="D196" s="47"/>
      <c r="E196" s="47"/>
      <c r="F196" s="47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3.1" spans="1:26">
      <c r="A197" s="40"/>
      <c r="B197" s="47"/>
      <c r="C197" s="47"/>
      <c r="D197" s="47"/>
      <c r="E197" s="47"/>
      <c r="F197" s="47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3.1" spans="1:26">
      <c r="A198" s="40"/>
      <c r="B198" s="47"/>
      <c r="C198" s="47"/>
      <c r="D198" s="47"/>
      <c r="E198" s="47"/>
      <c r="F198" s="47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3.1" spans="1:26">
      <c r="A199" s="40"/>
      <c r="B199" s="47"/>
      <c r="C199" s="47"/>
      <c r="D199" s="47"/>
      <c r="E199" s="47"/>
      <c r="F199" s="47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3.1" spans="1:26">
      <c r="A200" s="40"/>
      <c r="B200" s="47"/>
      <c r="C200" s="47"/>
      <c r="D200" s="47"/>
      <c r="E200" s="47"/>
      <c r="F200" s="47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3.1" spans="1:26">
      <c r="A201" s="40"/>
      <c r="B201" s="47"/>
      <c r="C201" s="47"/>
      <c r="D201" s="47"/>
      <c r="E201" s="47"/>
      <c r="F201" s="47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3.1" spans="1:26">
      <c r="A202" s="40"/>
      <c r="B202" s="47"/>
      <c r="C202" s="47"/>
      <c r="D202" s="47"/>
      <c r="E202" s="47"/>
      <c r="F202" s="47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3.1" spans="1:26">
      <c r="A203" s="40"/>
      <c r="B203" s="47"/>
      <c r="C203" s="47"/>
      <c r="D203" s="47"/>
      <c r="E203" s="47"/>
      <c r="F203" s="47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3.1" spans="1:26">
      <c r="A204" s="40"/>
      <c r="B204" s="47"/>
      <c r="C204" s="47"/>
      <c r="D204" s="47"/>
      <c r="E204" s="47"/>
      <c r="F204" s="47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3.1" spans="1:26">
      <c r="A205" s="40"/>
      <c r="B205" s="47"/>
      <c r="C205" s="47"/>
      <c r="D205" s="47"/>
      <c r="E205" s="47"/>
      <c r="F205" s="47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3.1" spans="1:26">
      <c r="A206" s="40"/>
      <c r="B206" s="47"/>
      <c r="C206" s="47"/>
      <c r="D206" s="47"/>
      <c r="E206" s="47"/>
      <c r="F206" s="47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3.1" spans="1:26">
      <c r="A207" s="40"/>
      <c r="B207" s="47"/>
      <c r="C207" s="47"/>
      <c r="D207" s="47"/>
      <c r="E207" s="47"/>
      <c r="F207" s="47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3.1" spans="1:26">
      <c r="A208" s="40"/>
      <c r="B208" s="47"/>
      <c r="C208" s="47"/>
      <c r="D208" s="47"/>
      <c r="E208" s="47"/>
      <c r="F208" s="47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3.1" spans="1:26">
      <c r="A209" s="40"/>
      <c r="B209" s="47"/>
      <c r="C209" s="47"/>
      <c r="D209" s="47"/>
      <c r="E209" s="47"/>
      <c r="F209" s="47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3.1" spans="1:26">
      <c r="A210" s="40"/>
      <c r="B210" s="47"/>
      <c r="C210" s="47"/>
      <c r="D210" s="47"/>
      <c r="E210" s="47"/>
      <c r="F210" s="47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3.1" spans="1:26">
      <c r="A211" s="40"/>
      <c r="B211" s="47"/>
      <c r="C211" s="47"/>
      <c r="D211" s="47"/>
      <c r="E211" s="47"/>
      <c r="F211" s="47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3.1" spans="1:26">
      <c r="A212" s="40"/>
      <c r="B212" s="47"/>
      <c r="C212" s="47"/>
      <c r="D212" s="47"/>
      <c r="E212" s="47"/>
      <c r="F212" s="47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3.1" spans="1:26">
      <c r="A213" s="40"/>
      <c r="B213" s="47"/>
      <c r="C213" s="47"/>
      <c r="D213" s="47"/>
      <c r="E213" s="47"/>
      <c r="F213" s="47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3.1" spans="1:26">
      <c r="A214" s="40"/>
      <c r="B214" s="47"/>
      <c r="C214" s="47"/>
      <c r="D214" s="47"/>
      <c r="E214" s="47"/>
      <c r="F214" s="47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3.1" spans="1:26">
      <c r="A215" s="40"/>
      <c r="B215" s="47"/>
      <c r="C215" s="47"/>
      <c r="D215" s="47"/>
      <c r="E215" s="47"/>
      <c r="F215" s="47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3.1" spans="1:26">
      <c r="A216" s="40"/>
      <c r="B216" s="47"/>
      <c r="C216" s="47"/>
      <c r="D216" s="47"/>
      <c r="E216" s="47"/>
      <c r="F216" s="47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3.1" spans="1:26">
      <c r="A217" s="40"/>
      <c r="B217" s="47"/>
      <c r="C217" s="47"/>
      <c r="D217" s="47"/>
      <c r="E217" s="47"/>
      <c r="F217" s="47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3.1" spans="1:26">
      <c r="A218" s="40"/>
      <c r="B218" s="47"/>
      <c r="C218" s="47"/>
      <c r="D218" s="47"/>
      <c r="E218" s="47"/>
      <c r="F218" s="47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3.1" spans="1:26">
      <c r="A219" s="40"/>
      <c r="B219" s="47"/>
      <c r="C219" s="47"/>
      <c r="D219" s="47"/>
      <c r="E219" s="47"/>
      <c r="F219" s="47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3.1" spans="1:26">
      <c r="A220" s="40"/>
      <c r="B220" s="47"/>
      <c r="C220" s="47"/>
      <c r="D220" s="47"/>
      <c r="E220" s="47"/>
      <c r="F220" s="47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3.1" spans="1:26">
      <c r="A221" s="40"/>
      <c r="B221" s="47"/>
      <c r="C221" s="47"/>
      <c r="D221" s="47"/>
      <c r="E221" s="47"/>
      <c r="F221" s="47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3.1" spans="1:26">
      <c r="A222" s="40"/>
      <c r="B222" s="47"/>
      <c r="C222" s="47"/>
      <c r="D222" s="47"/>
      <c r="E222" s="47"/>
      <c r="F222" s="47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3.1" spans="1:26">
      <c r="A223" s="40"/>
      <c r="B223" s="47"/>
      <c r="C223" s="47"/>
      <c r="D223" s="47"/>
      <c r="E223" s="47"/>
      <c r="F223" s="47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3.1" spans="1:26">
      <c r="A224" s="40"/>
      <c r="B224" s="47"/>
      <c r="C224" s="47"/>
      <c r="D224" s="47"/>
      <c r="E224" s="47"/>
      <c r="F224" s="47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3.1" spans="1:26">
      <c r="A225" s="40"/>
      <c r="B225" s="47"/>
      <c r="C225" s="47"/>
      <c r="D225" s="47"/>
      <c r="E225" s="47"/>
      <c r="F225" s="47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3.1" spans="1:26">
      <c r="A226" s="40"/>
      <c r="B226" s="47"/>
      <c r="C226" s="47"/>
      <c r="D226" s="47"/>
      <c r="E226" s="47"/>
      <c r="F226" s="47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3.1" spans="1:26">
      <c r="A227" s="40"/>
      <c r="B227" s="47"/>
      <c r="C227" s="47"/>
      <c r="D227" s="47"/>
      <c r="E227" s="47"/>
      <c r="F227" s="47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3.1" spans="1:26">
      <c r="A228" s="40"/>
      <c r="B228" s="47"/>
      <c r="C228" s="47"/>
      <c r="D228" s="47"/>
      <c r="E228" s="47"/>
      <c r="F228" s="47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3.1" spans="1:26">
      <c r="A229" s="40"/>
      <c r="B229" s="47"/>
      <c r="C229" s="47"/>
      <c r="D229" s="47"/>
      <c r="E229" s="47"/>
      <c r="F229" s="47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3.1" spans="1:26">
      <c r="A230" s="40"/>
      <c r="B230" s="47"/>
      <c r="C230" s="47"/>
      <c r="D230" s="47"/>
      <c r="E230" s="47"/>
      <c r="F230" s="47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3.1" spans="1:26">
      <c r="A231" s="40"/>
      <c r="B231" s="47"/>
      <c r="C231" s="47"/>
      <c r="D231" s="47"/>
      <c r="E231" s="47"/>
      <c r="F231" s="47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3.1" spans="1:26">
      <c r="A232" s="40"/>
      <c r="B232" s="47"/>
      <c r="C232" s="47"/>
      <c r="D232" s="47"/>
      <c r="E232" s="47"/>
      <c r="F232" s="47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3.1" spans="1:26">
      <c r="A233" s="40"/>
      <c r="B233" s="47"/>
      <c r="C233" s="47"/>
      <c r="D233" s="47"/>
      <c r="E233" s="47"/>
      <c r="F233" s="47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3.1" spans="1:26">
      <c r="A234" s="40"/>
      <c r="B234" s="47"/>
      <c r="C234" s="47"/>
      <c r="D234" s="47"/>
      <c r="E234" s="47"/>
      <c r="F234" s="47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3.1" spans="1:26">
      <c r="A235" s="40"/>
      <c r="B235" s="47"/>
      <c r="C235" s="47"/>
      <c r="D235" s="47"/>
      <c r="E235" s="47"/>
      <c r="F235" s="47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3.1" spans="1:26">
      <c r="A236" s="40"/>
      <c r="B236" s="47"/>
      <c r="C236" s="47"/>
      <c r="D236" s="47"/>
      <c r="E236" s="47"/>
      <c r="F236" s="47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3.1" spans="1:26">
      <c r="A237" s="40"/>
      <c r="B237" s="47"/>
      <c r="C237" s="47"/>
      <c r="D237" s="47"/>
      <c r="E237" s="47"/>
      <c r="F237" s="47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3.1" spans="1:26">
      <c r="A238" s="40"/>
      <c r="B238" s="47"/>
      <c r="C238" s="47"/>
      <c r="D238" s="47"/>
      <c r="E238" s="47"/>
      <c r="F238" s="47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3.1" spans="1:26">
      <c r="A239" s="40"/>
      <c r="B239" s="47"/>
      <c r="C239" s="47"/>
      <c r="D239" s="47"/>
      <c r="E239" s="47"/>
      <c r="F239" s="47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3.1" spans="1:26">
      <c r="A240" s="40"/>
      <c r="B240" s="47"/>
      <c r="C240" s="47"/>
      <c r="D240" s="47"/>
      <c r="E240" s="47"/>
      <c r="F240" s="47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3.1" spans="1:26">
      <c r="A241" s="40"/>
      <c r="B241" s="47"/>
      <c r="C241" s="47"/>
      <c r="D241" s="47"/>
      <c r="E241" s="47"/>
      <c r="F241" s="47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3.1" spans="1:26">
      <c r="A242" s="40"/>
      <c r="B242" s="47"/>
      <c r="C242" s="47"/>
      <c r="D242" s="47"/>
      <c r="E242" s="47"/>
      <c r="F242" s="47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3.1" spans="1:26">
      <c r="A243" s="40"/>
      <c r="B243" s="47"/>
      <c r="C243" s="47"/>
      <c r="D243" s="47"/>
      <c r="E243" s="47"/>
      <c r="F243" s="47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3.1" spans="1:26">
      <c r="A244" s="40"/>
      <c r="B244" s="47"/>
      <c r="C244" s="47"/>
      <c r="D244" s="47"/>
      <c r="E244" s="47"/>
      <c r="F244" s="47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3.1" spans="1:26">
      <c r="A245" s="40"/>
      <c r="B245" s="47"/>
      <c r="C245" s="47"/>
      <c r="D245" s="47"/>
      <c r="E245" s="47"/>
      <c r="F245" s="47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3.1" spans="1:26">
      <c r="A246" s="40"/>
      <c r="B246" s="47"/>
      <c r="C246" s="47"/>
      <c r="D246" s="47"/>
      <c r="E246" s="47"/>
      <c r="F246" s="47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3.1" spans="1:26">
      <c r="A247" s="40"/>
      <c r="B247" s="47"/>
      <c r="C247" s="47"/>
      <c r="D247" s="47"/>
      <c r="E247" s="47"/>
      <c r="F247" s="47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3.1" spans="1:26">
      <c r="A248" s="40"/>
      <c r="B248" s="47"/>
      <c r="C248" s="47"/>
      <c r="D248" s="47"/>
      <c r="E248" s="47"/>
      <c r="F248" s="47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3.1" spans="1:26">
      <c r="A249" s="40"/>
      <c r="B249" s="47"/>
      <c r="C249" s="47"/>
      <c r="D249" s="47"/>
      <c r="E249" s="47"/>
      <c r="F249" s="47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3.1" spans="1:26">
      <c r="A250" s="40"/>
      <c r="B250" s="47"/>
      <c r="C250" s="47"/>
      <c r="D250" s="47"/>
      <c r="E250" s="47"/>
      <c r="F250" s="47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3.1" spans="1:26">
      <c r="A251" s="40"/>
      <c r="B251" s="47"/>
      <c r="C251" s="47"/>
      <c r="D251" s="47"/>
      <c r="E251" s="47"/>
      <c r="F251" s="47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3.1" spans="1:26">
      <c r="A252" s="40"/>
      <c r="B252" s="47"/>
      <c r="C252" s="47"/>
      <c r="D252" s="47"/>
      <c r="E252" s="47"/>
      <c r="F252" s="47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3.1" spans="1:26">
      <c r="A253" s="40"/>
      <c r="B253" s="47"/>
      <c r="C253" s="47"/>
      <c r="D253" s="47"/>
      <c r="E253" s="47"/>
      <c r="F253" s="47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3.1" spans="1:26">
      <c r="A254" s="40"/>
      <c r="B254" s="47"/>
      <c r="C254" s="47"/>
      <c r="D254" s="47"/>
      <c r="E254" s="47"/>
      <c r="F254" s="47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3.1" spans="1:26">
      <c r="A255" s="40"/>
      <c r="B255" s="47"/>
      <c r="C255" s="47"/>
      <c r="D255" s="47"/>
      <c r="E255" s="47"/>
      <c r="F255" s="47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3.1" spans="1:26">
      <c r="A256" s="40"/>
      <c r="B256" s="47"/>
      <c r="C256" s="47"/>
      <c r="D256" s="47"/>
      <c r="E256" s="47"/>
      <c r="F256" s="47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3.1" spans="1:26">
      <c r="A257" s="40"/>
      <c r="B257" s="47"/>
      <c r="C257" s="47"/>
      <c r="D257" s="47"/>
      <c r="E257" s="47"/>
      <c r="F257" s="47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3.1" spans="1:26">
      <c r="A258" s="40"/>
      <c r="B258" s="47"/>
      <c r="C258" s="47"/>
      <c r="D258" s="47"/>
      <c r="E258" s="47"/>
      <c r="F258" s="47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3.1" spans="1:26">
      <c r="A259" s="40"/>
      <c r="B259" s="47"/>
      <c r="C259" s="47"/>
      <c r="D259" s="47"/>
      <c r="E259" s="47"/>
      <c r="F259" s="47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3.1" spans="1:26">
      <c r="A260" s="40"/>
      <c r="B260" s="47"/>
      <c r="C260" s="47"/>
      <c r="D260" s="47"/>
      <c r="E260" s="47"/>
      <c r="F260" s="47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3.1" spans="1:26">
      <c r="A261" s="40"/>
      <c r="B261" s="47"/>
      <c r="C261" s="47"/>
      <c r="D261" s="47"/>
      <c r="E261" s="47"/>
      <c r="F261" s="47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3.1" spans="1:26">
      <c r="A262" s="40"/>
      <c r="B262" s="47"/>
      <c r="C262" s="47"/>
      <c r="D262" s="47"/>
      <c r="E262" s="47"/>
      <c r="F262" s="47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3.1" spans="1:26">
      <c r="A263" s="40"/>
      <c r="B263" s="47"/>
      <c r="C263" s="47"/>
      <c r="D263" s="47"/>
      <c r="E263" s="47"/>
      <c r="F263" s="47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3.1" spans="1:26">
      <c r="A264" s="40"/>
      <c r="B264" s="47"/>
      <c r="C264" s="47"/>
      <c r="D264" s="47"/>
      <c r="E264" s="47"/>
      <c r="F264" s="47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3.1" spans="1:26">
      <c r="A265" s="40"/>
      <c r="B265" s="47"/>
      <c r="C265" s="47"/>
      <c r="D265" s="47"/>
      <c r="E265" s="47"/>
      <c r="F265" s="47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3.1" spans="1:26">
      <c r="A266" s="40"/>
      <c r="B266" s="47"/>
      <c r="C266" s="47"/>
      <c r="D266" s="47"/>
      <c r="E266" s="47"/>
      <c r="F266" s="47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3.1" spans="1:26">
      <c r="A267" s="40"/>
      <c r="B267" s="47"/>
      <c r="C267" s="47"/>
      <c r="D267" s="47"/>
      <c r="E267" s="47"/>
      <c r="F267" s="47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3.1" spans="1:26">
      <c r="A268" s="40"/>
      <c r="B268" s="47"/>
      <c r="C268" s="47"/>
      <c r="D268" s="47"/>
      <c r="E268" s="47"/>
      <c r="F268" s="47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3.1" spans="1:26">
      <c r="A269" s="40"/>
      <c r="B269" s="47"/>
      <c r="C269" s="47"/>
      <c r="D269" s="47"/>
      <c r="E269" s="47"/>
      <c r="F269" s="47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3.1" spans="1:26">
      <c r="A270" s="40"/>
      <c r="B270" s="47"/>
      <c r="C270" s="47"/>
      <c r="D270" s="47"/>
      <c r="E270" s="47"/>
      <c r="F270" s="47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3.1" spans="1:26">
      <c r="A271" s="40"/>
      <c r="B271" s="47"/>
      <c r="C271" s="47"/>
      <c r="D271" s="47"/>
      <c r="E271" s="47"/>
      <c r="F271" s="47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3.1" spans="1:26">
      <c r="A272" s="40"/>
      <c r="B272" s="47"/>
      <c r="C272" s="47"/>
      <c r="D272" s="47"/>
      <c r="E272" s="47"/>
      <c r="F272" s="47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3.1" spans="1:26">
      <c r="A273" s="40"/>
      <c r="B273" s="47"/>
      <c r="C273" s="47"/>
      <c r="D273" s="47"/>
      <c r="E273" s="47"/>
      <c r="F273" s="47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3.1" spans="1:26">
      <c r="A274" s="40"/>
      <c r="B274" s="47"/>
      <c r="C274" s="47"/>
      <c r="D274" s="47"/>
      <c r="E274" s="47"/>
      <c r="F274" s="47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3.1" spans="1:26">
      <c r="A275" s="40"/>
      <c r="B275" s="47"/>
      <c r="C275" s="47"/>
      <c r="D275" s="47"/>
      <c r="E275" s="47"/>
      <c r="F275" s="47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3.1" spans="1:26">
      <c r="A276" s="40"/>
      <c r="B276" s="47"/>
      <c r="C276" s="47"/>
      <c r="D276" s="47"/>
      <c r="E276" s="47"/>
      <c r="F276" s="47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3.1" spans="1:26">
      <c r="A277" s="40"/>
      <c r="B277" s="47"/>
      <c r="C277" s="47"/>
      <c r="D277" s="47"/>
      <c r="E277" s="47"/>
      <c r="F277" s="47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3.1" spans="1:26">
      <c r="A278" s="40"/>
      <c r="B278" s="47"/>
      <c r="C278" s="47"/>
      <c r="D278" s="47"/>
      <c r="E278" s="47"/>
      <c r="F278" s="47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3.1" spans="1:26">
      <c r="A279" s="40"/>
      <c r="B279" s="47"/>
      <c r="C279" s="47"/>
      <c r="D279" s="47"/>
      <c r="E279" s="47"/>
      <c r="F279" s="47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3.1" spans="1:26">
      <c r="A280" s="40"/>
      <c r="B280" s="47"/>
      <c r="C280" s="47"/>
      <c r="D280" s="47"/>
      <c r="E280" s="47"/>
      <c r="F280" s="47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3.1" spans="1:26">
      <c r="A281" s="40"/>
      <c r="B281" s="47"/>
      <c r="C281" s="47"/>
      <c r="D281" s="47"/>
      <c r="E281" s="47"/>
      <c r="F281" s="47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3.1" spans="1:26">
      <c r="A282" s="40"/>
      <c r="B282" s="47"/>
      <c r="C282" s="47"/>
      <c r="D282" s="47"/>
      <c r="E282" s="47"/>
      <c r="F282" s="47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3.1" spans="1:26">
      <c r="A283" s="40"/>
      <c r="B283" s="47"/>
      <c r="C283" s="47"/>
      <c r="D283" s="47"/>
      <c r="E283" s="47"/>
      <c r="F283" s="47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3.1" spans="1:26">
      <c r="A284" s="40"/>
      <c r="B284" s="47"/>
      <c r="C284" s="47"/>
      <c r="D284" s="47"/>
      <c r="E284" s="47"/>
      <c r="F284" s="47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3.1" spans="1:26">
      <c r="A285" s="40"/>
      <c r="B285" s="47"/>
      <c r="C285" s="47"/>
      <c r="D285" s="47"/>
      <c r="E285" s="47"/>
      <c r="F285" s="47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3.1" spans="1:26">
      <c r="A286" s="40"/>
      <c r="B286" s="47"/>
      <c r="C286" s="47"/>
      <c r="D286" s="47"/>
      <c r="E286" s="47"/>
      <c r="F286" s="47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3.1" spans="1:26">
      <c r="A287" s="40"/>
      <c r="B287" s="47"/>
      <c r="C287" s="47"/>
      <c r="D287" s="47"/>
      <c r="E287" s="47"/>
      <c r="F287" s="47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3.1" spans="1:26">
      <c r="A288" s="40"/>
      <c r="B288" s="47"/>
      <c r="C288" s="47"/>
      <c r="D288" s="47"/>
      <c r="E288" s="47"/>
      <c r="F288" s="47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3.1" spans="1:26">
      <c r="A289" s="40"/>
      <c r="B289" s="47"/>
      <c r="C289" s="47"/>
      <c r="D289" s="47"/>
      <c r="E289" s="47"/>
      <c r="F289" s="47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3.1" spans="1:26">
      <c r="A290" s="40"/>
      <c r="B290" s="47"/>
      <c r="C290" s="47"/>
      <c r="D290" s="47"/>
      <c r="E290" s="47"/>
      <c r="F290" s="47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3.1" spans="1:26">
      <c r="A291" s="40"/>
      <c r="B291" s="47"/>
      <c r="C291" s="47"/>
      <c r="D291" s="47"/>
      <c r="E291" s="47"/>
      <c r="F291" s="47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3.1" spans="1:26">
      <c r="A292" s="40"/>
      <c r="B292" s="47"/>
      <c r="C292" s="47"/>
      <c r="D292" s="47"/>
      <c r="E292" s="47"/>
      <c r="F292" s="47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3.1" spans="1:26">
      <c r="A293" s="40"/>
      <c r="B293" s="47"/>
      <c r="C293" s="47"/>
      <c r="D293" s="47"/>
      <c r="E293" s="47"/>
      <c r="F293" s="47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3.1" spans="1:26">
      <c r="A294" s="40"/>
      <c r="B294" s="47"/>
      <c r="C294" s="47"/>
      <c r="D294" s="47"/>
      <c r="E294" s="47"/>
      <c r="F294" s="47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3.1" spans="1:26">
      <c r="A295" s="40"/>
      <c r="B295" s="47"/>
      <c r="C295" s="47"/>
      <c r="D295" s="47"/>
      <c r="E295" s="47"/>
      <c r="F295" s="47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3.1" spans="1:26">
      <c r="A296" s="40"/>
      <c r="B296" s="47"/>
      <c r="C296" s="47"/>
      <c r="D296" s="47"/>
      <c r="E296" s="47"/>
      <c r="F296" s="47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3.1" spans="1:26">
      <c r="A297" s="40"/>
      <c r="B297" s="47"/>
      <c r="C297" s="47"/>
      <c r="D297" s="47"/>
      <c r="E297" s="47"/>
      <c r="F297" s="47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3.1" spans="1:26">
      <c r="A298" s="40"/>
      <c r="B298" s="47"/>
      <c r="C298" s="47"/>
      <c r="D298" s="47"/>
      <c r="E298" s="47"/>
      <c r="F298" s="47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3.1" spans="1:26">
      <c r="A299" s="40"/>
      <c r="B299" s="47"/>
      <c r="C299" s="47"/>
      <c r="D299" s="47"/>
      <c r="E299" s="47"/>
      <c r="F299" s="47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3.1" spans="1:26">
      <c r="A300" s="40"/>
      <c r="B300" s="47"/>
      <c r="C300" s="47"/>
      <c r="D300" s="47"/>
      <c r="E300" s="47"/>
      <c r="F300" s="47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3.1" spans="1:26">
      <c r="A301" s="40"/>
      <c r="B301" s="47"/>
      <c r="C301" s="47"/>
      <c r="D301" s="47"/>
      <c r="E301" s="47"/>
      <c r="F301" s="47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3.1" spans="1:26">
      <c r="A302" s="40"/>
      <c r="B302" s="47"/>
      <c r="C302" s="47"/>
      <c r="D302" s="47"/>
      <c r="E302" s="47"/>
      <c r="F302" s="47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3.1" spans="1:26">
      <c r="A303" s="40"/>
      <c r="B303" s="47"/>
      <c r="C303" s="47"/>
      <c r="D303" s="47"/>
      <c r="E303" s="47"/>
      <c r="F303" s="47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3.1" spans="1:26">
      <c r="A304" s="40"/>
      <c r="B304" s="47"/>
      <c r="C304" s="47"/>
      <c r="D304" s="47"/>
      <c r="E304" s="47"/>
      <c r="F304" s="47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3.1" spans="1:26">
      <c r="A305" s="40"/>
      <c r="B305" s="47"/>
      <c r="C305" s="47"/>
      <c r="D305" s="47"/>
      <c r="E305" s="47"/>
      <c r="F305" s="47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3.1" spans="1:26">
      <c r="A306" s="40"/>
      <c r="B306" s="47"/>
      <c r="C306" s="47"/>
      <c r="D306" s="47"/>
      <c r="E306" s="47"/>
      <c r="F306" s="47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3.1" spans="1:26">
      <c r="A307" s="40"/>
      <c r="B307" s="47"/>
      <c r="C307" s="47"/>
      <c r="D307" s="47"/>
      <c r="E307" s="47"/>
      <c r="F307" s="47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3.1" spans="1:26">
      <c r="A308" s="40"/>
      <c r="B308" s="47"/>
      <c r="C308" s="47"/>
      <c r="D308" s="47"/>
      <c r="E308" s="47"/>
      <c r="F308" s="47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3.1" spans="1:26">
      <c r="A309" s="40"/>
      <c r="B309" s="47"/>
      <c r="C309" s="47"/>
      <c r="D309" s="47"/>
      <c r="E309" s="47"/>
      <c r="F309" s="47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3.1" spans="1:26">
      <c r="A310" s="40"/>
      <c r="B310" s="47"/>
      <c r="C310" s="47"/>
      <c r="D310" s="47"/>
      <c r="E310" s="47"/>
      <c r="F310" s="47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3.1" spans="1:26">
      <c r="A311" s="40"/>
      <c r="B311" s="47"/>
      <c r="C311" s="47"/>
      <c r="D311" s="47"/>
      <c r="E311" s="47"/>
      <c r="F311" s="47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3.1" spans="1:26">
      <c r="A312" s="40"/>
      <c r="B312" s="47"/>
      <c r="C312" s="47"/>
      <c r="D312" s="47"/>
      <c r="E312" s="47"/>
      <c r="F312" s="47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3.1" spans="1:26">
      <c r="A313" s="40"/>
      <c r="B313" s="47"/>
      <c r="C313" s="47"/>
      <c r="D313" s="47"/>
      <c r="E313" s="47"/>
      <c r="F313" s="47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3.1" spans="1:26">
      <c r="A314" s="40"/>
      <c r="B314" s="47"/>
      <c r="C314" s="47"/>
      <c r="D314" s="47"/>
      <c r="E314" s="47"/>
      <c r="F314" s="47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3.1" spans="1:26">
      <c r="A315" s="40"/>
      <c r="B315" s="47"/>
      <c r="C315" s="47"/>
      <c r="D315" s="47"/>
      <c r="E315" s="47"/>
      <c r="F315" s="47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3.1" spans="1:26">
      <c r="A316" s="40"/>
      <c r="B316" s="47"/>
      <c r="C316" s="47"/>
      <c r="D316" s="47"/>
      <c r="E316" s="47"/>
      <c r="F316" s="47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3.1" spans="1:26">
      <c r="A317" s="40"/>
      <c r="B317" s="47"/>
      <c r="C317" s="47"/>
      <c r="D317" s="47"/>
      <c r="E317" s="47"/>
      <c r="F317" s="47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3.1" spans="1:26">
      <c r="A318" s="40"/>
      <c r="B318" s="47"/>
      <c r="C318" s="47"/>
      <c r="D318" s="47"/>
      <c r="E318" s="47"/>
      <c r="F318" s="47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3.1" spans="1:26">
      <c r="A319" s="40"/>
      <c r="B319" s="47"/>
      <c r="C319" s="47"/>
      <c r="D319" s="47"/>
      <c r="E319" s="47"/>
      <c r="F319" s="47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3.1" spans="1:26">
      <c r="A320" s="40"/>
      <c r="B320" s="47"/>
      <c r="C320" s="47"/>
      <c r="D320" s="47"/>
      <c r="E320" s="47"/>
      <c r="F320" s="47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3.1" spans="1:26">
      <c r="A321" s="40"/>
      <c r="B321" s="47"/>
      <c r="C321" s="47"/>
      <c r="D321" s="47"/>
      <c r="E321" s="47"/>
      <c r="F321" s="47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3.1" spans="1:26">
      <c r="A322" s="40"/>
      <c r="B322" s="47"/>
      <c r="C322" s="47"/>
      <c r="D322" s="47"/>
      <c r="E322" s="47"/>
      <c r="F322" s="47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3.1" spans="1:26">
      <c r="A323" s="40"/>
      <c r="B323" s="47"/>
      <c r="C323" s="47"/>
      <c r="D323" s="47"/>
      <c r="E323" s="47"/>
      <c r="F323" s="47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3.1" spans="1:26">
      <c r="A324" s="40"/>
      <c r="B324" s="47"/>
      <c r="C324" s="47"/>
      <c r="D324" s="47"/>
      <c r="E324" s="47"/>
      <c r="F324" s="47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3.1" spans="1:26">
      <c r="A325" s="40"/>
      <c r="B325" s="47"/>
      <c r="C325" s="47"/>
      <c r="D325" s="47"/>
      <c r="E325" s="47"/>
      <c r="F325" s="47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3.1" spans="1:26">
      <c r="A326" s="40"/>
      <c r="B326" s="47"/>
      <c r="C326" s="47"/>
      <c r="D326" s="47"/>
      <c r="E326" s="47"/>
      <c r="F326" s="47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3.1" spans="1:26">
      <c r="A327" s="40"/>
      <c r="B327" s="47"/>
      <c r="C327" s="47"/>
      <c r="D327" s="47"/>
      <c r="E327" s="47"/>
      <c r="F327" s="47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3.1" spans="1:26">
      <c r="A328" s="40"/>
      <c r="B328" s="47"/>
      <c r="C328" s="47"/>
      <c r="D328" s="47"/>
      <c r="E328" s="47"/>
      <c r="F328" s="47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3.1" spans="1:26">
      <c r="A329" s="40"/>
      <c r="B329" s="47"/>
      <c r="C329" s="47"/>
      <c r="D329" s="47"/>
      <c r="E329" s="47"/>
      <c r="F329" s="47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3.1" spans="1:26">
      <c r="A330" s="40"/>
      <c r="B330" s="47"/>
      <c r="C330" s="47"/>
      <c r="D330" s="47"/>
      <c r="E330" s="47"/>
      <c r="F330" s="47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3.1" spans="1:26">
      <c r="A331" s="40"/>
      <c r="B331" s="47"/>
      <c r="C331" s="47"/>
      <c r="D331" s="47"/>
      <c r="E331" s="47"/>
      <c r="F331" s="47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3.1" spans="1:26">
      <c r="A332" s="40"/>
      <c r="B332" s="47"/>
      <c r="C332" s="47"/>
      <c r="D332" s="47"/>
      <c r="E332" s="47"/>
      <c r="F332" s="47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3.1" spans="1:26">
      <c r="A333" s="40"/>
      <c r="B333" s="47"/>
      <c r="C333" s="47"/>
      <c r="D333" s="47"/>
      <c r="E333" s="47"/>
      <c r="F333" s="47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3.1" spans="1:26">
      <c r="A334" s="40"/>
      <c r="B334" s="47"/>
      <c r="C334" s="47"/>
      <c r="D334" s="47"/>
      <c r="E334" s="47"/>
      <c r="F334" s="47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3.1" spans="1:26">
      <c r="A335" s="40"/>
      <c r="B335" s="47"/>
      <c r="C335" s="47"/>
      <c r="D335" s="47"/>
      <c r="E335" s="47"/>
      <c r="F335" s="47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3.1" spans="1:26">
      <c r="A336" s="40"/>
      <c r="B336" s="47"/>
      <c r="C336" s="47"/>
      <c r="D336" s="47"/>
      <c r="E336" s="47"/>
      <c r="F336" s="47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3.1" spans="1:26">
      <c r="A337" s="40"/>
      <c r="B337" s="47"/>
      <c r="C337" s="47"/>
      <c r="D337" s="47"/>
      <c r="E337" s="47"/>
      <c r="F337" s="47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3.1" spans="1:26">
      <c r="A338" s="40"/>
      <c r="B338" s="47"/>
      <c r="C338" s="47"/>
      <c r="D338" s="47"/>
      <c r="E338" s="47"/>
      <c r="F338" s="47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3.1" spans="1:26">
      <c r="A339" s="40"/>
      <c r="B339" s="47"/>
      <c r="C339" s="47"/>
      <c r="D339" s="47"/>
      <c r="E339" s="47"/>
      <c r="F339" s="47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3.1" spans="1:26">
      <c r="A340" s="40"/>
      <c r="B340" s="47"/>
      <c r="C340" s="47"/>
      <c r="D340" s="47"/>
      <c r="E340" s="47"/>
      <c r="F340" s="47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3.1" spans="1:26">
      <c r="A341" s="40"/>
      <c r="B341" s="47"/>
      <c r="C341" s="47"/>
      <c r="D341" s="47"/>
      <c r="E341" s="47"/>
      <c r="F341" s="47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3.1" spans="1:26">
      <c r="A342" s="40"/>
      <c r="B342" s="47"/>
      <c r="C342" s="47"/>
      <c r="D342" s="47"/>
      <c r="E342" s="47"/>
      <c r="F342" s="47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3.1" spans="1:26">
      <c r="A343" s="40"/>
      <c r="B343" s="47"/>
      <c r="C343" s="47"/>
      <c r="D343" s="47"/>
      <c r="E343" s="47"/>
      <c r="F343" s="47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3.1" spans="1:26">
      <c r="A344" s="40"/>
      <c r="B344" s="47"/>
      <c r="C344" s="47"/>
      <c r="D344" s="47"/>
      <c r="E344" s="47"/>
      <c r="F344" s="47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3.1" spans="1:26">
      <c r="A345" s="40"/>
      <c r="B345" s="47"/>
      <c r="C345" s="47"/>
      <c r="D345" s="47"/>
      <c r="E345" s="47"/>
      <c r="F345" s="47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3.1" spans="1:26">
      <c r="A346" s="40"/>
      <c r="B346" s="47"/>
      <c r="C346" s="47"/>
      <c r="D346" s="47"/>
      <c r="E346" s="47"/>
      <c r="F346" s="47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3.1" spans="1:26">
      <c r="A347" s="40"/>
      <c r="B347" s="47"/>
      <c r="C347" s="47"/>
      <c r="D347" s="47"/>
      <c r="E347" s="47"/>
      <c r="F347" s="47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3.1" spans="1:26">
      <c r="A348" s="40"/>
      <c r="B348" s="47"/>
      <c r="C348" s="47"/>
      <c r="D348" s="47"/>
      <c r="E348" s="47"/>
      <c r="F348" s="47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3.1" spans="1:26">
      <c r="A349" s="40"/>
      <c r="B349" s="47"/>
      <c r="C349" s="47"/>
      <c r="D349" s="47"/>
      <c r="E349" s="47"/>
      <c r="F349" s="47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3.1" spans="1:26">
      <c r="A350" s="40"/>
      <c r="B350" s="47"/>
      <c r="C350" s="47"/>
      <c r="D350" s="47"/>
      <c r="E350" s="47"/>
      <c r="F350" s="47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3.1" spans="1:26">
      <c r="A351" s="40"/>
      <c r="B351" s="47"/>
      <c r="C351" s="47"/>
      <c r="D351" s="47"/>
      <c r="E351" s="47"/>
      <c r="F351" s="47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3.1" spans="1:26">
      <c r="A352" s="40"/>
      <c r="B352" s="47"/>
      <c r="C352" s="47"/>
      <c r="D352" s="47"/>
      <c r="E352" s="47"/>
      <c r="F352" s="47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3.1" spans="1:26">
      <c r="A353" s="40"/>
      <c r="B353" s="47"/>
      <c r="C353" s="47"/>
      <c r="D353" s="47"/>
      <c r="E353" s="47"/>
      <c r="F353" s="47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3.1" spans="1:26">
      <c r="A354" s="40"/>
      <c r="B354" s="47"/>
      <c r="C354" s="47"/>
      <c r="D354" s="47"/>
      <c r="E354" s="47"/>
      <c r="F354" s="47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3.1" spans="1:26">
      <c r="A355" s="40"/>
      <c r="B355" s="47"/>
      <c r="C355" s="47"/>
      <c r="D355" s="47"/>
      <c r="E355" s="47"/>
      <c r="F355" s="47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3.1" spans="1:26">
      <c r="A356" s="40"/>
      <c r="B356" s="47"/>
      <c r="C356" s="47"/>
      <c r="D356" s="47"/>
      <c r="E356" s="47"/>
      <c r="F356" s="47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3.1" spans="1:26">
      <c r="A357" s="40"/>
      <c r="B357" s="47"/>
      <c r="C357" s="47"/>
      <c r="D357" s="47"/>
      <c r="E357" s="47"/>
      <c r="F357" s="47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3.1" spans="1:26">
      <c r="A358" s="40"/>
      <c r="B358" s="47"/>
      <c r="C358" s="47"/>
      <c r="D358" s="47"/>
      <c r="E358" s="47"/>
      <c r="F358" s="47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3.1" spans="1:26">
      <c r="A359" s="40"/>
      <c r="B359" s="47"/>
      <c r="C359" s="47"/>
      <c r="D359" s="47"/>
      <c r="E359" s="47"/>
      <c r="F359" s="47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3.1" spans="1:26">
      <c r="A360" s="40"/>
      <c r="B360" s="47"/>
      <c r="C360" s="47"/>
      <c r="D360" s="47"/>
      <c r="E360" s="47"/>
      <c r="F360" s="47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3.1" spans="1:26">
      <c r="A361" s="40"/>
      <c r="B361" s="47"/>
      <c r="C361" s="47"/>
      <c r="D361" s="47"/>
      <c r="E361" s="47"/>
      <c r="F361" s="47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3.1" spans="1:26">
      <c r="A362" s="40"/>
      <c r="B362" s="47"/>
      <c r="C362" s="47"/>
      <c r="D362" s="47"/>
      <c r="E362" s="47"/>
      <c r="F362" s="47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3.1" spans="1:26">
      <c r="A363" s="40"/>
      <c r="B363" s="47"/>
      <c r="C363" s="47"/>
      <c r="D363" s="47"/>
      <c r="E363" s="47"/>
      <c r="F363" s="47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3.1" spans="1:26">
      <c r="A364" s="40"/>
      <c r="B364" s="47"/>
      <c r="C364" s="47"/>
      <c r="D364" s="47"/>
      <c r="E364" s="47"/>
      <c r="F364" s="47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3.1" spans="1:26">
      <c r="A365" s="40"/>
      <c r="B365" s="47"/>
      <c r="C365" s="47"/>
      <c r="D365" s="47"/>
      <c r="E365" s="47"/>
      <c r="F365" s="47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3.1" spans="1:26">
      <c r="A366" s="40"/>
      <c r="B366" s="47"/>
      <c r="C366" s="47"/>
      <c r="D366" s="47"/>
      <c r="E366" s="47"/>
      <c r="F366" s="47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3.1" spans="1:26">
      <c r="A367" s="40"/>
      <c r="B367" s="47"/>
      <c r="C367" s="47"/>
      <c r="D367" s="47"/>
      <c r="E367" s="47"/>
      <c r="F367" s="47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3.1" spans="1:26">
      <c r="A368" s="40"/>
      <c r="B368" s="47"/>
      <c r="C368" s="47"/>
      <c r="D368" s="47"/>
      <c r="E368" s="47"/>
      <c r="F368" s="47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3.1" spans="1:26">
      <c r="A369" s="40"/>
      <c r="B369" s="47"/>
      <c r="C369" s="47"/>
      <c r="D369" s="47"/>
      <c r="E369" s="47"/>
      <c r="F369" s="47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3.1" spans="1:26">
      <c r="A370" s="40"/>
      <c r="B370" s="47"/>
      <c r="C370" s="47"/>
      <c r="D370" s="47"/>
      <c r="E370" s="47"/>
      <c r="F370" s="47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3.1" spans="1:26">
      <c r="A371" s="40"/>
      <c r="B371" s="47"/>
      <c r="C371" s="47"/>
      <c r="D371" s="47"/>
      <c r="E371" s="47"/>
      <c r="F371" s="47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3.1" spans="1:26">
      <c r="A372" s="40"/>
      <c r="B372" s="47"/>
      <c r="C372" s="47"/>
      <c r="D372" s="47"/>
      <c r="E372" s="47"/>
      <c r="F372" s="47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3.1" spans="1:26">
      <c r="A373" s="40"/>
      <c r="B373" s="47"/>
      <c r="C373" s="47"/>
      <c r="D373" s="47"/>
      <c r="E373" s="47"/>
      <c r="F373" s="47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3.1" spans="1:26">
      <c r="A374" s="40"/>
      <c r="B374" s="47"/>
      <c r="C374" s="47"/>
      <c r="D374" s="47"/>
      <c r="E374" s="47"/>
      <c r="F374" s="47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3.1" spans="1:26">
      <c r="A375" s="40"/>
      <c r="B375" s="47"/>
      <c r="C375" s="47"/>
      <c r="D375" s="47"/>
      <c r="E375" s="47"/>
      <c r="F375" s="47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3.1" spans="1:26">
      <c r="A376" s="40"/>
      <c r="B376" s="47"/>
      <c r="C376" s="47"/>
      <c r="D376" s="47"/>
      <c r="E376" s="47"/>
      <c r="F376" s="47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3.1" spans="1:26">
      <c r="A377" s="40"/>
      <c r="B377" s="47"/>
      <c r="C377" s="47"/>
      <c r="D377" s="47"/>
      <c r="E377" s="47"/>
      <c r="F377" s="47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3.1" spans="1:26">
      <c r="A378" s="40"/>
      <c r="B378" s="47"/>
      <c r="C378" s="47"/>
      <c r="D378" s="47"/>
      <c r="E378" s="47"/>
      <c r="F378" s="47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3.1" spans="1:26">
      <c r="A379" s="40"/>
      <c r="B379" s="47"/>
      <c r="C379" s="47"/>
      <c r="D379" s="47"/>
      <c r="E379" s="47"/>
      <c r="F379" s="47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3.1" spans="1:26">
      <c r="A380" s="40"/>
      <c r="B380" s="47"/>
      <c r="C380" s="47"/>
      <c r="D380" s="47"/>
      <c r="E380" s="47"/>
      <c r="F380" s="47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3.1" spans="1:26">
      <c r="A381" s="40"/>
      <c r="B381" s="47"/>
      <c r="C381" s="47"/>
      <c r="D381" s="47"/>
      <c r="E381" s="47"/>
      <c r="F381" s="47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3.1" spans="1:26">
      <c r="A382" s="40"/>
      <c r="B382" s="47"/>
      <c r="C382" s="47"/>
      <c r="D382" s="47"/>
      <c r="E382" s="47"/>
      <c r="F382" s="47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3.1" spans="1:26">
      <c r="A383" s="40"/>
      <c r="B383" s="47"/>
      <c r="C383" s="47"/>
      <c r="D383" s="47"/>
      <c r="E383" s="47"/>
      <c r="F383" s="47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3.1" spans="1:26">
      <c r="A384" s="40"/>
      <c r="B384" s="47"/>
      <c r="C384" s="47"/>
      <c r="D384" s="47"/>
      <c r="E384" s="47"/>
      <c r="F384" s="47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3.1" spans="1:26">
      <c r="A385" s="40"/>
      <c r="B385" s="47"/>
      <c r="C385" s="47"/>
      <c r="D385" s="47"/>
      <c r="E385" s="47"/>
      <c r="F385" s="47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3.1" spans="1:26">
      <c r="A386" s="40"/>
      <c r="B386" s="47"/>
      <c r="C386" s="47"/>
      <c r="D386" s="47"/>
      <c r="E386" s="47"/>
      <c r="F386" s="47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3.1" spans="1:26">
      <c r="A387" s="40"/>
      <c r="B387" s="47"/>
      <c r="C387" s="47"/>
      <c r="D387" s="47"/>
      <c r="E387" s="47"/>
      <c r="F387" s="47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3.1" spans="1:26">
      <c r="A388" s="40"/>
      <c r="B388" s="47"/>
      <c r="C388" s="47"/>
      <c r="D388" s="47"/>
      <c r="E388" s="47"/>
      <c r="F388" s="47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3.1" spans="1:26">
      <c r="A389" s="40"/>
      <c r="B389" s="47"/>
      <c r="C389" s="47"/>
      <c r="D389" s="47"/>
      <c r="E389" s="47"/>
      <c r="F389" s="47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3.1" spans="1:26">
      <c r="A390" s="40"/>
      <c r="B390" s="47"/>
      <c r="C390" s="47"/>
      <c r="D390" s="47"/>
      <c r="E390" s="47"/>
      <c r="F390" s="47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3.1" spans="1:26">
      <c r="A391" s="40"/>
      <c r="B391" s="47"/>
      <c r="C391" s="47"/>
      <c r="D391" s="47"/>
      <c r="E391" s="47"/>
      <c r="F391" s="47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3.1" spans="1:26">
      <c r="A392" s="40"/>
      <c r="B392" s="47"/>
      <c r="C392" s="47"/>
      <c r="D392" s="47"/>
      <c r="E392" s="47"/>
      <c r="F392" s="47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3.1" spans="1:26">
      <c r="A393" s="40"/>
      <c r="B393" s="47"/>
      <c r="C393" s="47"/>
      <c r="D393" s="47"/>
      <c r="E393" s="47"/>
      <c r="F393" s="47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3.1" spans="1:26">
      <c r="A394" s="40"/>
      <c r="B394" s="47"/>
      <c r="C394" s="47"/>
      <c r="D394" s="47"/>
      <c r="E394" s="47"/>
      <c r="F394" s="47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3.1" spans="1:26">
      <c r="A395" s="40"/>
      <c r="B395" s="47"/>
      <c r="C395" s="47"/>
      <c r="D395" s="47"/>
      <c r="E395" s="47"/>
      <c r="F395" s="47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3.1" spans="1:26">
      <c r="A396" s="40"/>
      <c r="B396" s="47"/>
      <c r="C396" s="47"/>
      <c r="D396" s="47"/>
      <c r="E396" s="47"/>
      <c r="F396" s="47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3.1" spans="1:26">
      <c r="A397" s="40"/>
      <c r="B397" s="47"/>
      <c r="C397" s="47"/>
      <c r="D397" s="47"/>
      <c r="E397" s="47"/>
      <c r="F397" s="47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3.1" spans="1:26">
      <c r="A398" s="40"/>
      <c r="B398" s="47"/>
      <c r="C398" s="47"/>
      <c r="D398" s="47"/>
      <c r="E398" s="47"/>
      <c r="F398" s="47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3.1" spans="1:26">
      <c r="A399" s="40"/>
      <c r="B399" s="47"/>
      <c r="C399" s="47"/>
      <c r="D399" s="47"/>
      <c r="E399" s="47"/>
      <c r="F399" s="47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3.1" spans="1:26">
      <c r="A400" s="40"/>
      <c r="B400" s="47"/>
      <c r="C400" s="47"/>
      <c r="D400" s="47"/>
      <c r="E400" s="47"/>
      <c r="F400" s="47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3.1" spans="1:26">
      <c r="A401" s="40"/>
      <c r="B401" s="47"/>
      <c r="C401" s="47"/>
      <c r="D401" s="47"/>
      <c r="E401" s="47"/>
      <c r="F401" s="47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3.1" spans="1:26">
      <c r="A402" s="40"/>
      <c r="B402" s="47"/>
      <c r="C402" s="47"/>
      <c r="D402" s="47"/>
      <c r="E402" s="47"/>
      <c r="F402" s="47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3.1" spans="1:26">
      <c r="A403" s="40"/>
      <c r="B403" s="47"/>
      <c r="C403" s="47"/>
      <c r="D403" s="47"/>
      <c r="E403" s="47"/>
      <c r="F403" s="47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3.1" spans="1:26">
      <c r="A404" s="40"/>
      <c r="B404" s="47"/>
      <c r="C404" s="47"/>
      <c r="D404" s="47"/>
      <c r="E404" s="47"/>
      <c r="F404" s="47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3.1" spans="1:26">
      <c r="A405" s="40"/>
      <c r="B405" s="47"/>
      <c r="C405" s="47"/>
      <c r="D405" s="47"/>
      <c r="E405" s="47"/>
      <c r="F405" s="47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3.1" spans="1:26">
      <c r="A406" s="40"/>
      <c r="B406" s="47"/>
      <c r="C406" s="47"/>
      <c r="D406" s="47"/>
      <c r="E406" s="47"/>
      <c r="F406" s="47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3.1" spans="1:26">
      <c r="A407" s="40"/>
      <c r="B407" s="47"/>
      <c r="C407" s="47"/>
      <c r="D407" s="47"/>
      <c r="E407" s="47"/>
      <c r="F407" s="47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3.1" spans="1:26">
      <c r="A408" s="40"/>
      <c r="B408" s="47"/>
      <c r="C408" s="47"/>
      <c r="D408" s="47"/>
      <c r="E408" s="47"/>
      <c r="F408" s="47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3.1" spans="1:26">
      <c r="A409" s="40"/>
      <c r="B409" s="47"/>
      <c r="C409" s="47"/>
      <c r="D409" s="47"/>
      <c r="E409" s="47"/>
      <c r="F409" s="47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3.1" spans="1:26">
      <c r="A410" s="40"/>
      <c r="B410" s="47"/>
      <c r="C410" s="47"/>
      <c r="D410" s="47"/>
      <c r="E410" s="47"/>
      <c r="F410" s="47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3.1" spans="1:26">
      <c r="A411" s="40"/>
      <c r="B411" s="47"/>
      <c r="C411" s="47"/>
      <c r="D411" s="47"/>
      <c r="E411" s="47"/>
      <c r="F411" s="47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3.1" spans="1:26">
      <c r="A412" s="40"/>
      <c r="B412" s="47"/>
      <c r="C412" s="47"/>
      <c r="D412" s="47"/>
      <c r="E412" s="47"/>
      <c r="F412" s="47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3.1" spans="1:26">
      <c r="A413" s="40"/>
      <c r="B413" s="47"/>
      <c r="C413" s="47"/>
      <c r="D413" s="47"/>
      <c r="E413" s="47"/>
      <c r="F413" s="47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3.1" spans="1:26">
      <c r="A414" s="40"/>
      <c r="B414" s="47"/>
      <c r="C414" s="47"/>
      <c r="D414" s="47"/>
      <c r="E414" s="47"/>
      <c r="F414" s="47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3.1" spans="1:26">
      <c r="A415" s="40"/>
      <c r="B415" s="47"/>
      <c r="C415" s="47"/>
      <c r="D415" s="47"/>
      <c r="E415" s="47"/>
      <c r="F415" s="47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3.1" spans="1:26">
      <c r="A416" s="40"/>
      <c r="B416" s="47"/>
      <c r="C416" s="47"/>
      <c r="D416" s="47"/>
      <c r="E416" s="47"/>
      <c r="F416" s="47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3.1" spans="1:26">
      <c r="A417" s="40"/>
      <c r="B417" s="47"/>
      <c r="C417" s="47"/>
      <c r="D417" s="47"/>
      <c r="E417" s="47"/>
      <c r="F417" s="47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3.1" spans="1:26">
      <c r="A418" s="40"/>
      <c r="B418" s="47"/>
      <c r="C418" s="47"/>
      <c r="D418" s="47"/>
      <c r="E418" s="47"/>
      <c r="F418" s="47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3.1" spans="1:26">
      <c r="A419" s="40"/>
      <c r="B419" s="47"/>
      <c r="C419" s="47"/>
      <c r="D419" s="47"/>
      <c r="E419" s="47"/>
      <c r="F419" s="47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3.1" spans="1:26">
      <c r="A420" s="40"/>
      <c r="B420" s="47"/>
      <c r="C420" s="47"/>
      <c r="D420" s="47"/>
      <c r="E420" s="47"/>
      <c r="F420" s="47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3.1" spans="1:26">
      <c r="A421" s="40"/>
      <c r="B421" s="47"/>
      <c r="C421" s="47"/>
      <c r="D421" s="47"/>
      <c r="E421" s="47"/>
      <c r="F421" s="47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3.1" spans="1:26">
      <c r="A422" s="40"/>
      <c r="B422" s="47"/>
      <c r="C422" s="47"/>
      <c r="D422" s="47"/>
      <c r="E422" s="47"/>
      <c r="F422" s="47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3.1" spans="1:26">
      <c r="A423" s="40"/>
      <c r="B423" s="47"/>
      <c r="C423" s="47"/>
      <c r="D423" s="47"/>
      <c r="E423" s="47"/>
      <c r="F423" s="47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3.1" spans="1:26">
      <c r="A424" s="40"/>
      <c r="B424" s="47"/>
      <c r="C424" s="47"/>
      <c r="D424" s="47"/>
      <c r="E424" s="47"/>
      <c r="F424" s="47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3.1" spans="1:26">
      <c r="A425" s="40"/>
      <c r="B425" s="47"/>
      <c r="C425" s="47"/>
      <c r="D425" s="47"/>
      <c r="E425" s="47"/>
      <c r="F425" s="47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3.1" spans="1:26">
      <c r="A426" s="40"/>
      <c r="B426" s="47"/>
      <c r="C426" s="47"/>
      <c r="D426" s="47"/>
      <c r="E426" s="47"/>
      <c r="F426" s="47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3.1" spans="1:26">
      <c r="A427" s="40"/>
      <c r="B427" s="47"/>
      <c r="C427" s="47"/>
      <c r="D427" s="47"/>
      <c r="E427" s="47"/>
      <c r="F427" s="47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3.1" spans="1:26">
      <c r="A428" s="40"/>
      <c r="B428" s="47"/>
      <c r="C428" s="47"/>
      <c r="D428" s="47"/>
      <c r="E428" s="47"/>
      <c r="F428" s="47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3.1" spans="1:26">
      <c r="A429" s="40"/>
      <c r="B429" s="47"/>
      <c r="C429" s="47"/>
      <c r="D429" s="47"/>
      <c r="E429" s="47"/>
      <c r="F429" s="47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3.1" spans="1:26">
      <c r="A430" s="40"/>
      <c r="B430" s="47"/>
      <c r="C430" s="47"/>
      <c r="D430" s="47"/>
      <c r="E430" s="47"/>
      <c r="F430" s="47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3.1" spans="1:26">
      <c r="A431" s="40"/>
      <c r="B431" s="47"/>
      <c r="C431" s="47"/>
      <c r="D431" s="47"/>
      <c r="E431" s="47"/>
      <c r="F431" s="47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3.1" spans="1:26">
      <c r="A432" s="40"/>
      <c r="B432" s="47"/>
      <c r="C432" s="47"/>
      <c r="D432" s="47"/>
      <c r="E432" s="47"/>
      <c r="F432" s="47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3.1" spans="1:26">
      <c r="A433" s="40"/>
      <c r="B433" s="47"/>
      <c r="C433" s="47"/>
      <c r="D433" s="47"/>
      <c r="E433" s="47"/>
      <c r="F433" s="47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3.1" spans="1:26">
      <c r="A434" s="40"/>
      <c r="B434" s="47"/>
      <c r="C434" s="47"/>
      <c r="D434" s="47"/>
      <c r="E434" s="47"/>
      <c r="F434" s="47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3.1" spans="1:26">
      <c r="A435" s="40"/>
      <c r="B435" s="47"/>
      <c r="C435" s="47"/>
      <c r="D435" s="47"/>
      <c r="E435" s="47"/>
      <c r="F435" s="47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3.1" spans="1:26">
      <c r="A436" s="40"/>
      <c r="B436" s="47"/>
      <c r="C436" s="47"/>
      <c r="D436" s="47"/>
      <c r="E436" s="47"/>
      <c r="F436" s="47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3.1" spans="1:26">
      <c r="A437" s="40"/>
      <c r="B437" s="47"/>
      <c r="C437" s="47"/>
      <c r="D437" s="47"/>
      <c r="E437" s="47"/>
      <c r="F437" s="47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3.1" spans="1:26">
      <c r="A438" s="40"/>
      <c r="B438" s="47"/>
      <c r="C438" s="47"/>
      <c r="D438" s="47"/>
      <c r="E438" s="47"/>
      <c r="F438" s="47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3.1" spans="1:26">
      <c r="A439" s="40"/>
      <c r="B439" s="47"/>
      <c r="C439" s="47"/>
      <c r="D439" s="47"/>
      <c r="E439" s="47"/>
      <c r="F439" s="47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3.1" spans="1:26">
      <c r="A440" s="40"/>
      <c r="B440" s="47"/>
      <c r="C440" s="47"/>
      <c r="D440" s="47"/>
      <c r="E440" s="47"/>
      <c r="F440" s="47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3.1" spans="1:26">
      <c r="A441" s="40"/>
      <c r="B441" s="47"/>
      <c r="C441" s="47"/>
      <c r="D441" s="47"/>
      <c r="E441" s="47"/>
      <c r="F441" s="47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3.1" spans="1:26">
      <c r="A442" s="40"/>
      <c r="B442" s="47"/>
      <c r="C442" s="47"/>
      <c r="D442" s="47"/>
      <c r="E442" s="47"/>
      <c r="F442" s="47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3.1" spans="1:26">
      <c r="A443" s="40"/>
      <c r="B443" s="47"/>
      <c r="C443" s="47"/>
      <c r="D443" s="47"/>
      <c r="E443" s="47"/>
      <c r="F443" s="47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3.1" spans="1:26">
      <c r="A444" s="40"/>
      <c r="B444" s="47"/>
      <c r="C444" s="47"/>
      <c r="D444" s="47"/>
      <c r="E444" s="47"/>
      <c r="F444" s="47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3.1" spans="1:26">
      <c r="A445" s="40"/>
      <c r="B445" s="47"/>
      <c r="C445" s="47"/>
      <c r="D445" s="47"/>
      <c r="E445" s="47"/>
      <c r="F445" s="47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3.1" spans="1:26">
      <c r="A446" s="40"/>
      <c r="B446" s="47"/>
      <c r="C446" s="47"/>
      <c r="D446" s="47"/>
      <c r="E446" s="47"/>
      <c r="F446" s="47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3.1" spans="1:26">
      <c r="A447" s="40"/>
      <c r="B447" s="47"/>
      <c r="C447" s="47"/>
      <c r="D447" s="47"/>
      <c r="E447" s="47"/>
      <c r="F447" s="47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3.1" spans="1:26">
      <c r="A448" s="40"/>
      <c r="B448" s="47"/>
      <c r="C448" s="47"/>
      <c r="D448" s="47"/>
      <c r="E448" s="47"/>
      <c r="F448" s="47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3.1" spans="1:26">
      <c r="A449" s="40"/>
      <c r="B449" s="47"/>
      <c r="C449" s="47"/>
      <c r="D449" s="47"/>
      <c r="E449" s="47"/>
      <c r="F449" s="47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3.1" spans="1:26">
      <c r="A450" s="40"/>
      <c r="B450" s="47"/>
      <c r="C450" s="47"/>
      <c r="D450" s="47"/>
      <c r="E450" s="47"/>
      <c r="F450" s="47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3.1" spans="1:26">
      <c r="A451" s="40"/>
      <c r="B451" s="47"/>
      <c r="C451" s="47"/>
      <c r="D451" s="47"/>
      <c r="E451" s="47"/>
      <c r="F451" s="47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3.1" spans="1:26">
      <c r="A452" s="40"/>
      <c r="B452" s="47"/>
      <c r="C452" s="47"/>
      <c r="D452" s="47"/>
      <c r="E452" s="47"/>
      <c r="F452" s="47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3.1" spans="1:26">
      <c r="A453" s="40"/>
      <c r="B453" s="47"/>
      <c r="C453" s="47"/>
      <c r="D453" s="47"/>
      <c r="E453" s="47"/>
      <c r="F453" s="47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3.1" spans="1:26">
      <c r="A454" s="40"/>
      <c r="B454" s="47"/>
      <c r="C454" s="47"/>
      <c r="D454" s="47"/>
      <c r="E454" s="47"/>
      <c r="F454" s="47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3.1" spans="1:26">
      <c r="A455" s="40"/>
      <c r="B455" s="47"/>
      <c r="C455" s="47"/>
      <c r="D455" s="47"/>
      <c r="E455" s="47"/>
      <c r="F455" s="47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3.1" spans="1:26">
      <c r="A456" s="40"/>
      <c r="B456" s="47"/>
      <c r="C456" s="47"/>
      <c r="D456" s="47"/>
      <c r="E456" s="47"/>
      <c r="F456" s="47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3.1" spans="1:26">
      <c r="A457" s="40"/>
      <c r="B457" s="47"/>
      <c r="C457" s="47"/>
      <c r="D457" s="47"/>
      <c r="E457" s="47"/>
      <c r="F457" s="47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3.1" spans="1:26">
      <c r="A458" s="40"/>
      <c r="B458" s="47"/>
      <c r="C458" s="47"/>
      <c r="D458" s="47"/>
      <c r="E458" s="47"/>
      <c r="F458" s="47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3.1" spans="1:26">
      <c r="A459" s="40"/>
      <c r="B459" s="47"/>
      <c r="C459" s="47"/>
      <c r="D459" s="47"/>
      <c r="E459" s="47"/>
      <c r="F459" s="47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3.1" spans="1:26">
      <c r="A460" s="40"/>
      <c r="B460" s="47"/>
      <c r="C460" s="47"/>
      <c r="D460" s="47"/>
      <c r="E460" s="47"/>
      <c r="F460" s="47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3.1" spans="1:26">
      <c r="A461" s="40"/>
      <c r="B461" s="47"/>
      <c r="C461" s="47"/>
      <c r="D461" s="47"/>
      <c r="E461" s="47"/>
      <c r="F461" s="47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3.1" spans="1:26">
      <c r="A462" s="40"/>
      <c r="B462" s="47"/>
      <c r="C462" s="47"/>
      <c r="D462" s="47"/>
      <c r="E462" s="47"/>
      <c r="F462" s="47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3.1" spans="1:26">
      <c r="A463" s="40"/>
      <c r="B463" s="47"/>
      <c r="C463" s="47"/>
      <c r="D463" s="47"/>
      <c r="E463" s="47"/>
      <c r="F463" s="47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3.1" spans="1:26">
      <c r="A464" s="40"/>
      <c r="B464" s="47"/>
      <c r="C464" s="47"/>
      <c r="D464" s="47"/>
      <c r="E464" s="47"/>
      <c r="F464" s="47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3.1" spans="1:26">
      <c r="A465" s="40"/>
      <c r="B465" s="47"/>
      <c r="C465" s="47"/>
      <c r="D465" s="47"/>
      <c r="E465" s="47"/>
      <c r="F465" s="47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3.1" spans="1:26">
      <c r="A466" s="40"/>
      <c r="B466" s="47"/>
      <c r="C466" s="47"/>
      <c r="D466" s="47"/>
      <c r="E466" s="47"/>
      <c r="F466" s="47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3.1" spans="1:26">
      <c r="A467" s="40"/>
      <c r="B467" s="47"/>
      <c r="C467" s="47"/>
      <c r="D467" s="47"/>
      <c r="E467" s="47"/>
      <c r="F467" s="47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3.1" spans="1:26">
      <c r="A468" s="40"/>
      <c r="B468" s="47"/>
      <c r="C468" s="47"/>
      <c r="D468" s="47"/>
      <c r="E468" s="47"/>
      <c r="F468" s="47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3.1" spans="1:26">
      <c r="A469" s="40"/>
      <c r="B469" s="47"/>
      <c r="C469" s="47"/>
      <c r="D469" s="47"/>
      <c r="E469" s="47"/>
      <c r="F469" s="47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3.1" spans="1:26">
      <c r="A470" s="40"/>
      <c r="B470" s="47"/>
      <c r="C470" s="47"/>
      <c r="D470" s="47"/>
      <c r="E470" s="47"/>
      <c r="F470" s="47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3.1" spans="1:26">
      <c r="A471" s="40"/>
      <c r="B471" s="47"/>
      <c r="C471" s="47"/>
      <c r="D471" s="47"/>
      <c r="E471" s="47"/>
      <c r="F471" s="47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3.1" spans="1:26">
      <c r="A472" s="40"/>
      <c r="B472" s="47"/>
      <c r="C472" s="47"/>
      <c r="D472" s="47"/>
      <c r="E472" s="47"/>
      <c r="F472" s="47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3.1" spans="1:26">
      <c r="A473" s="40"/>
      <c r="B473" s="47"/>
      <c r="C473" s="47"/>
      <c r="D473" s="47"/>
      <c r="E473" s="47"/>
      <c r="F473" s="47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3.1" spans="1:26">
      <c r="A474" s="40"/>
      <c r="B474" s="47"/>
      <c r="C474" s="47"/>
      <c r="D474" s="47"/>
      <c r="E474" s="47"/>
      <c r="F474" s="47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3.1" spans="1:26">
      <c r="A475" s="40"/>
      <c r="B475" s="47"/>
      <c r="C475" s="47"/>
      <c r="D475" s="47"/>
      <c r="E475" s="47"/>
      <c r="F475" s="47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3.1" spans="1:26">
      <c r="A476" s="40"/>
      <c r="B476" s="47"/>
      <c r="C476" s="47"/>
      <c r="D476" s="47"/>
      <c r="E476" s="47"/>
      <c r="F476" s="47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3.1" spans="1:26">
      <c r="A477" s="40"/>
      <c r="B477" s="47"/>
      <c r="C477" s="47"/>
      <c r="D477" s="47"/>
      <c r="E477" s="47"/>
      <c r="F477" s="47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3.1" spans="1:26">
      <c r="A478" s="40"/>
      <c r="B478" s="47"/>
      <c r="C478" s="47"/>
      <c r="D478" s="47"/>
      <c r="E478" s="47"/>
      <c r="F478" s="47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3.1" spans="1:26">
      <c r="A479" s="40"/>
      <c r="B479" s="47"/>
      <c r="C479" s="47"/>
      <c r="D479" s="47"/>
      <c r="E479" s="47"/>
      <c r="F479" s="47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3.1" spans="1:26">
      <c r="A480" s="40"/>
      <c r="B480" s="47"/>
      <c r="C480" s="47"/>
      <c r="D480" s="47"/>
      <c r="E480" s="47"/>
      <c r="F480" s="47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3.1" spans="1:26">
      <c r="A481" s="40"/>
      <c r="B481" s="47"/>
      <c r="C481" s="47"/>
      <c r="D481" s="47"/>
      <c r="E481" s="47"/>
      <c r="F481" s="47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3.1" spans="1:26">
      <c r="A482" s="40"/>
      <c r="B482" s="47"/>
      <c r="C482" s="47"/>
      <c r="D482" s="47"/>
      <c r="E482" s="47"/>
      <c r="F482" s="47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3.1" spans="1:26">
      <c r="A483" s="40"/>
      <c r="B483" s="47"/>
      <c r="C483" s="47"/>
      <c r="D483" s="47"/>
      <c r="E483" s="47"/>
      <c r="F483" s="47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3.1" spans="1:26">
      <c r="A484" s="40"/>
      <c r="B484" s="47"/>
      <c r="C484" s="47"/>
      <c r="D484" s="47"/>
      <c r="E484" s="47"/>
      <c r="F484" s="47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3.1" spans="1:26">
      <c r="A485" s="40"/>
      <c r="B485" s="47"/>
      <c r="C485" s="47"/>
      <c r="D485" s="47"/>
      <c r="E485" s="47"/>
      <c r="F485" s="47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3.1" spans="1:26">
      <c r="A486" s="40"/>
      <c r="B486" s="47"/>
      <c r="C486" s="47"/>
      <c r="D486" s="47"/>
      <c r="E486" s="47"/>
      <c r="F486" s="47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3.1" spans="1:26">
      <c r="A487" s="40"/>
      <c r="B487" s="47"/>
      <c r="C487" s="47"/>
      <c r="D487" s="47"/>
      <c r="E487" s="47"/>
      <c r="F487" s="47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3.1" spans="1:26">
      <c r="A488" s="40"/>
      <c r="B488" s="47"/>
      <c r="C488" s="47"/>
      <c r="D488" s="47"/>
      <c r="E488" s="47"/>
      <c r="F488" s="47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3.1" spans="1:26">
      <c r="A489" s="40"/>
      <c r="B489" s="47"/>
      <c r="C489" s="47"/>
      <c r="D489" s="47"/>
      <c r="E489" s="47"/>
      <c r="F489" s="47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3.1" spans="1:26">
      <c r="A490" s="40"/>
      <c r="B490" s="47"/>
      <c r="C490" s="47"/>
      <c r="D490" s="47"/>
      <c r="E490" s="47"/>
      <c r="F490" s="47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3.1" spans="1:26">
      <c r="A491" s="40"/>
      <c r="B491" s="47"/>
      <c r="C491" s="47"/>
      <c r="D491" s="47"/>
      <c r="E491" s="47"/>
      <c r="F491" s="47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3.1" spans="1:26">
      <c r="A492" s="40"/>
      <c r="B492" s="47"/>
      <c r="C492" s="47"/>
      <c r="D492" s="47"/>
      <c r="E492" s="47"/>
      <c r="F492" s="47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3.1" spans="1:26">
      <c r="A493" s="40"/>
      <c r="B493" s="47"/>
      <c r="C493" s="47"/>
      <c r="D493" s="47"/>
      <c r="E493" s="47"/>
      <c r="F493" s="47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3.1" spans="1:26">
      <c r="A494" s="40"/>
      <c r="B494" s="47"/>
      <c r="C494" s="47"/>
      <c r="D494" s="47"/>
      <c r="E494" s="47"/>
      <c r="F494" s="47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3.1" spans="1:26">
      <c r="A495" s="40"/>
      <c r="B495" s="47"/>
      <c r="C495" s="47"/>
      <c r="D495" s="47"/>
      <c r="E495" s="47"/>
      <c r="F495" s="47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3.1" spans="1:26">
      <c r="A496" s="40"/>
      <c r="B496" s="47"/>
      <c r="C496" s="47"/>
      <c r="D496" s="47"/>
      <c r="E496" s="47"/>
      <c r="F496" s="47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3.1" spans="1:26">
      <c r="A497" s="40"/>
      <c r="B497" s="47"/>
      <c r="C497" s="47"/>
      <c r="D497" s="47"/>
      <c r="E497" s="47"/>
      <c r="F497" s="47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3.1" spans="1:26">
      <c r="A498" s="40"/>
      <c r="B498" s="47"/>
      <c r="C498" s="47"/>
      <c r="D498" s="47"/>
      <c r="E498" s="47"/>
      <c r="F498" s="47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3.1" spans="1:26">
      <c r="A499" s="40"/>
      <c r="B499" s="47"/>
      <c r="C499" s="47"/>
      <c r="D499" s="47"/>
      <c r="E499" s="47"/>
      <c r="F499" s="47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3.1" spans="1:26">
      <c r="A500" s="40"/>
      <c r="B500" s="47"/>
      <c r="C500" s="47"/>
      <c r="D500" s="47"/>
      <c r="E500" s="47"/>
      <c r="F500" s="47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3.1" spans="1:26">
      <c r="A501" s="40"/>
      <c r="B501" s="47"/>
      <c r="C501" s="47"/>
      <c r="D501" s="47"/>
      <c r="E501" s="47"/>
      <c r="F501" s="47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3.1" spans="1:26">
      <c r="A502" s="40"/>
      <c r="B502" s="47"/>
      <c r="C502" s="47"/>
      <c r="D502" s="47"/>
      <c r="E502" s="47"/>
      <c r="F502" s="47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3.1" spans="1:26">
      <c r="A503" s="40"/>
      <c r="B503" s="47"/>
      <c r="C503" s="47"/>
      <c r="D503" s="47"/>
      <c r="E503" s="47"/>
      <c r="F503" s="47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3.1" spans="1:26">
      <c r="A504" s="40"/>
      <c r="B504" s="47"/>
      <c r="C504" s="47"/>
      <c r="D504" s="47"/>
      <c r="E504" s="47"/>
      <c r="F504" s="47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3.1" spans="1:26">
      <c r="A505" s="40"/>
      <c r="B505" s="47"/>
      <c r="C505" s="47"/>
      <c r="D505" s="47"/>
      <c r="E505" s="47"/>
      <c r="F505" s="47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3.1" spans="1:26">
      <c r="A506" s="40"/>
      <c r="B506" s="47"/>
      <c r="C506" s="47"/>
      <c r="D506" s="47"/>
      <c r="E506" s="47"/>
      <c r="F506" s="47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3.1" spans="1:26">
      <c r="A507" s="40"/>
      <c r="B507" s="47"/>
      <c r="C507" s="47"/>
      <c r="D507" s="47"/>
      <c r="E507" s="47"/>
      <c r="F507" s="47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3.1" spans="1:26">
      <c r="A508" s="40"/>
      <c r="B508" s="47"/>
      <c r="C508" s="47"/>
      <c r="D508" s="47"/>
      <c r="E508" s="47"/>
      <c r="F508" s="47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3.1" spans="1:26">
      <c r="A509" s="40"/>
      <c r="B509" s="47"/>
      <c r="C509" s="47"/>
      <c r="D509" s="47"/>
      <c r="E509" s="47"/>
      <c r="F509" s="47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3.1" spans="1:26">
      <c r="A510" s="40"/>
      <c r="B510" s="47"/>
      <c r="C510" s="47"/>
      <c r="D510" s="47"/>
      <c r="E510" s="47"/>
      <c r="F510" s="47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3.1" spans="1:26">
      <c r="A511" s="40"/>
      <c r="B511" s="47"/>
      <c r="C511" s="47"/>
      <c r="D511" s="47"/>
      <c r="E511" s="47"/>
      <c r="F511" s="47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3.1" spans="1:26">
      <c r="A512" s="40"/>
      <c r="B512" s="47"/>
      <c r="C512" s="47"/>
      <c r="D512" s="47"/>
      <c r="E512" s="47"/>
      <c r="F512" s="47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3.1" spans="1:26">
      <c r="A513" s="40"/>
      <c r="B513" s="47"/>
      <c r="C513" s="47"/>
      <c r="D513" s="47"/>
      <c r="E513" s="47"/>
      <c r="F513" s="47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3.1" spans="1:26">
      <c r="A514" s="40"/>
      <c r="B514" s="47"/>
      <c r="C514" s="47"/>
      <c r="D514" s="47"/>
      <c r="E514" s="47"/>
      <c r="F514" s="47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3.1" spans="1:26">
      <c r="A515" s="40"/>
      <c r="B515" s="47"/>
      <c r="C515" s="47"/>
      <c r="D515" s="47"/>
      <c r="E515" s="47"/>
      <c r="F515" s="47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3.1" spans="1:26">
      <c r="A516" s="40"/>
      <c r="B516" s="47"/>
      <c r="C516" s="47"/>
      <c r="D516" s="47"/>
      <c r="E516" s="47"/>
      <c r="F516" s="47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3.1" spans="1:26">
      <c r="A517" s="40"/>
      <c r="B517" s="47"/>
      <c r="C517" s="47"/>
      <c r="D517" s="47"/>
      <c r="E517" s="47"/>
      <c r="F517" s="47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3.1" spans="1:26">
      <c r="A518" s="40"/>
      <c r="B518" s="47"/>
      <c r="C518" s="47"/>
      <c r="D518" s="47"/>
      <c r="E518" s="47"/>
      <c r="F518" s="47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3.1" spans="1:26">
      <c r="A519" s="40"/>
      <c r="B519" s="47"/>
      <c r="C519" s="47"/>
      <c r="D519" s="47"/>
      <c r="E519" s="47"/>
      <c r="F519" s="47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3.1" spans="1:26">
      <c r="A520" s="40"/>
      <c r="B520" s="47"/>
      <c r="C520" s="47"/>
      <c r="D520" s="47"/>
      <c r="E520" s="47"/>
      <c r="F520" s="47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3.1" spans="1:26">
      <c r="A521" s="40"/>
      <c r="B521" s="47"/>
      <c r="C521" s="47"/>
      <c r="D521" s="47"/>
      <c r="E521" s="47"/>
      <c r="F521" s="47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3.1" spans="1:26">
      <c r="A522" s="40"/>
      <c r="B522" s="47"/>
      <c r="C522" s="47"/>
      <c r="D522" s="47"/>
      <c r="E522" s="47"/>
      <c r="F522" s="47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3.1" spans="1:26">
      <c r="A523" s="40"/>
      <c r="B523" s="47"/>
      <c r="C523" s="47"/>
      <c r="D523" s="47"/>
      <c r="E523" s="47"/>
      <c r="F523" s="47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3.1" spans="1:26">
      <c r="A524" s="40"/>
      <c r="B524" s="47"/>
      <c r="C524" s="47"/>
      <c r="D524" s="47"/>
      <c r="E524" s="47"/>
      <c r="F524" s="47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3.1" spans="1:26">
      <c r="A525" s="40"/>
      <c r="B525" s="47"/>
      <c r="C525" s="47"/>
      <c r="D525" s="47"/>
      <c r="E525" s="47"/>
      <c r="F525" s="47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3.1" spans="1:26">
      <c r="A526" s="40"/>
      <c r="B526" s="47"/>
      <c r="C526" s="47"/>
      <c r="D526" s="47"/>
      <c r="E526" s="47"/>
      <c r="F526" s="47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3.1" spans="1:26">
      <c r="A527" s="40"/>
      <c r="B527" s="47"/>
      <c r="C527" s="47"/>
      <c r="D527" s="47"/>
      <c r="E527" s="47"/>
      <c r="F527" s="47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3.1" spans="1:26">
      <c r="A528" s="40"/>
      <c r="B528" s="47"/>
      <c r="C528" s="47"/>
      <c r="D528" s="47"/>
      <c r="E528" s="47"/>
      <c r="F528" s="47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3.1" spans="1:26">
      <c r="A529" s="40"/>
      <c r="B529" s="47"/>
      <c r="C529" s="47"/>
      <c r="D529" s="47"/>
      <c r="E529" s="47"/>
      <c r="F529" s="47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3.1" spans="1:26">
      <c r="A530" s="40"/>
      <c r="B530" s="47"/>
      <c r="C530" s="47"/>
      <c r="D530" s="47"/>
      <c r="E530" s="47"/>
      <c r="F530" s="47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3.1" spans="1:26">
      <c r="A531" s="40"/>
      <c r="B531" s="47"/>
      <c r="C531" s="47"/>
      <c r="D531" s="47"/>
      <c r="E531" s="47"/>
      <c r="F531" s="47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3.1" spans="1:26">
      <c r="A532" s="40"/>
      <c r="B532" s="47"/>
      <c r="C532" s="47"/>
      <c r="D532" s="47"/>
      <c r="E532" s="47"/>
      <c r="F532" s="47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3.1" spans="1:26">
      <c r="A533" s="40"/>
      <c r="B533" s="47"/>
      <c r="C533" s="47"/>
      <c r="D533" s="47"/>
      <c r="E533" s="47"/>
      <c r="F533" s="47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3.1" spans="1:26">
      <c r="A534" s="40"/>
      <c r="B534" s="47"/>
      <c r="C534" s="47"/>
      <c r="D534" s="47"/>
      <c r="E534" s="47"/>
      <c r="F534" s="47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3.1" spans="1:26">
      <c r="A535" s="40"/>
      <c r="B535" s="47"/>
      <c r="C535" s="47"/>
      <c r="D535" s="47"/>
      <c r="E535" s="47"/>
      <c r="F535" s="47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3.1" spans="1:26">
      <c r="A536" s="40"/>
      <c r="B536" s="47"/>
      <c r="C536" s="47"/>
      <c r="D536" s="47"/>
      <c r="E536" s="47"/>
      <c r="F536" s="47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3.1" spans="1:26">
      <c r="A537" s="40"/>
      <c r="B537" s="47"/>
      <c r="C537" s="47"/>
      <c r="D537" s="47"/>
      <c r="E537" s="47"/>
      <c r="F537" s="47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3.1" spans="1:26">
      <c r="A538" s="40"/>
      <c r="B538" s="47"/>
      <c r="C538" s="47"/>
      <c r="D538" s="47"/>
      <c r="E538" s="47"/>
      <c r="F538" s="47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3.1" spans="1:26">
      <c r="A539" s="40"/>
      <c r="B539" s="47"/>
      <c r="C539" s="47"/>
      <c r="D539" s="47"/>
      <c r="E539" s="47"/>
      <c r="F539" s="47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3.1" spans="1:26">
      <c r="A540" s="40"/>
      <c r="B540" s="47"/>
      <c r="C540" s="47"/>
      <c r="D540" s="47"/>
      <c r="E540" s="47"/>
      <c r="F540" s="47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3.1" spans="1:26">
      <c r="A541" s="40"/>
      <c r="B541" s="47"/>
      <c r="C541" s="47"/>
      <c r="D541" s="47"/>
      <c r="E541" s="47"/>
      <c r="F541" s="47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3.1" spans="1:26">
      <c r="A542" s="40"/>
      <c r="B542" s="47"/>
      <c r="C542" s="47"/>
      <c r="D542" s="47"/>
      <c r="E542" s="47"/>
      <c r="F542" s="47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3.1" spans="1:26">
      <c r="A543" s="40"/>
      <c r="B543" s="47"/>
      <c r="C543" s="47"/>
      <c r="D543" s="47"/>
      <c r="E543" s="47"/>
      <c r="F543" s="47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3.1" spans="1:26">
      <c r="A544" s="40"/>
      <c r="B544" s="47"/>
      <c r="C544" s="47"/>
      <c r="D544" s="47"/>
      <c r="E544" s="47"/>
      <c r="F544" s="47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3.1" spans="1:26">
      <c r="A545" s="40"/>
      <c r="B545" s="47"/>
      <c r="C545" s="47"/>
      <c r="D545" s="47"/>
      <c r="E545" s="47"/>
      <c r="F545" s="47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3.1" spans="1:26">
      <c r="A546" s="40"/>
      <c r="B546" s="47"/>
      <c r="C546" s="47"/>
      <c r="D546" s="47"/>
      <c r="E546" s="47"/>
      <c r="F546" s="47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3.1" spans="1:26">
      <c r="A547" s="40"/>
      <c r="B547" s="47"/>
      <c r="C547" s="47"/>
      <c r="D547" s="47"/>
      <c r="E547" s="47"/>
      <c r="F547" s="47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3.1" spans="1:26">
      <c r="A548" s="40"/>
      <c r="B548" s="47"/>
      <c r="C548" s="47"/>
      <c r="D548" s="47"/>
      <c r="E548" s="47"/>
      <c r="F548" s="47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3.1" spans="1:26">
      <c r="A549" s="40"/>
      <c r="B549" s="47"/>
      <c r="C549" s="47"/>
      <c r="D549" s="47"/>
      <c r="E549" s="47"/>
      <c r="F549" s="47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3.1" spans="1:26">
      <c r="A550" s="40"/>
      <c r="B550" s="47"/>
      <c r="C550" s="47"/>
      <c r="D550" s="47"/>
      <c r="E550" s="47"/>
      <c r="F550" s="47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3.1" spans="1:26">
      <c r="A551" s="40"/>
      <c r="B551" s="47"/>
      <c r="C551" s="47"/>
      <c r="D551" s="47"/>
      <c r="E551" s="47"/>
      <c r="F551" s="47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3.1" spans="1:26">
      <c r="A552" s="40"/>
      <c r="B552" s="47"/>
      <c r="C552" s="47"/>
      <c r="D552" s="47"/>
      <c r="E552" s="47"/>
      <c r="F552" s="47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3.1" spans="1:26">
      <c r="A553" s="40"/>
      <c r="B553" s="47"/>
      <c r="C553" s="47"/>
      <c r="D553" s="47"/>
      <c r="E553" s="47"/>
      <c r="F553" s="47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3.1" spans="1:26">
      <c r="A554" s="40"/>
      <c r="B554" s="47"/>
      <c r="C554" s="47"/>
      <c r="D554" s="47"/>
      <c r="E554" s="47"/>
      <c r="F554" s="47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3.1" spans="1:26">
      <c r="A555" s="40"/>
      <c r="B555" s="47"/>
      <c r="C555" s="47"/>
      <c r="D555" s="47"/>
      <c r="E555" s="47"/>
      <c r="F555" s="47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3.1" spans="1:26">
      <c r="A556" s="40"/>
      <c r="B556" s="47"/>
      <c r="C556" s="47"/>
      <c r="D556" s="47"/>
      <c r="E556" s="47"/>
      <c r="F556" s="47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3.1" spans="1:26">
      <c r="A557" s="40"/>
      <c r="B557" s="47"/>
      <c r="C557" s="47"/>
      <c r="D557" s="47"/>
      <c r="E557" s="47"/>
      <c r="F557" s="47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3.1" spans="1:26">
      <c r="A558" s="40"/>
      <c r="B558" s="47"/>
      <c r="C558" s="47"/>
      <c r="D558" s="47"/>
      <c r="E558" s="47"/>
      <c r="F558" s="47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3.1" spans="1:26">
      <c r="A559" s="40"/>
      <c r="B559" s="47"/>
      <c r="C559" s="47"/>
      <c r="D559" s="47"/>
      <c r="E559" s="47"/>
      <c r="F559" s="47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3.1" spans="1:26">
      <c r="A560" s="40"/>
      <c r="B560" s="47"/>
      <c r="C560" s="47"/>
      <c r="D560" s="47"/>
      <c r="E560" s="47"/>
      <c r="F560" s="47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3.1" spans="1:26">
      <c r="A561" s="40"/>
      <c r="B561" s="47"/>
      <c r="C561" s="47"/>
      <c r="D561" s="47"/>
      <c r="E561" s="47"/>
      <c r="F561" s="47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3.1" spans="1:26">
      <c r="A562" s="40"/>
      <c r="B562" s="47"/>
      <c r="C562" s="47"/>
      <c r="D562" s="47"/>
      <c r="E562" s="47"/>
      <c r="F562" s="47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3.1" spans="1:26">
      <c r="A563" s="40"/>
      <c r="B563" s="47"/>
      <c r="C563" s="47"/>
      <c r="D563" s="47"/>
      <c r="E563" s="47"/>
      <c r="F563" s="47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3.1" spans="1:26">
      <c r="A564" s="40"/>
      <c r="B564" s="47"/>
      <c r="C564" s="47"/>
      <c r="D564" s="47"/>
      <c r="E564" s="47"/>
      <c r="F564" s="47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3.1" spans="1:26">
      <c r="A565" s="40"/>
      <c r="B565" s="47"/>
      <c r="C565" s="47"/>
      <c r="D565" s="47"/>
      <c r="E565" s="47"/>
      <c r="F565" s="47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3.1" spans="1:26">
      <c r="A566" s="40"/>
      <c r="B566" s="47"/>
      <c r="C566" s="47"/>
      <c r="D566" s="47"/>
      <c r="E566" s="47"/>
      <c r="F566" s="47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3.1" spans="1:26">
      <c r="A567" s="40"/>
      <c r="B567" s="47"/>
      <c r="C567" s="47"/>
      <c r="D567" s="47"/>
      <c r="E567" s="47"/>
      <c r="F567" s="47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3.1" spans="1:26">
      <c r="A568" s="40"/>
      <c r="B568" s="47"/>
      <c r="C568" s="47"/>
      <c r="D568" s="47"/>
      <c r="E568" s="47"/>
      <c r="F568" s="47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3.1" spans="1:26">
      <c r="A569" s="40"/>
      <c r="B569" s="47"/>
      <c r="C569" s="47"/>
      <c r="D569" s="47"/>
      <c r="E569" s="47"/>
      <c r="F569" s="47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3.1" spans="1:26">
      <c r="A570" s="40"/>
      <c r="B570" s="47"/>
      <c r="C570" s="47"/>
      <c r="D570" s="47"/>
      <c r="E570" s="47"/>
      <c r="F570" s="47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3.1" spans="1:26">
      <c r="A571" s="40"/>
      <c r="B571" s="47"/>
      <c r="C571" s="47"/>
      <c r="D571" s="47"/>
      <c r="E571" s="47"/>
      <c r="F571" s="47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3.1" spans="1:26">
      <c r="A572" s="40"/>
      <c r="B572" s="47"/>
      <c r="C572" s="47"/>
      <c r="D572" s="47"/>
      <c r="E572" s="47"/>
      <c r="F572" s="47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3.1" spans="1:26">
      <c r="A573" s="40"/>
      <c r="B573" s="47"/>
      <c r="C573" s="47"/>
      <c r="D573" s="47"/>
      <c r="E573" s="47"/>
      <c r="F573" s="47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3.1" spans="1:26">
      <c r="A574" s="40"/>
      <c r="B574" s="47"/>
      <c r="C574" s="47"/>
      <c r="D574" s="47"/>
      <c r="E574" s="47"/>
      <c r="F574" s="47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3.1" spans="1:26">
      <c r="A575" s="40"/>
      <c r="B575" s="47"/>
      <c r="C575" s="47"/>
      <c r="D575" s="47"/>
      <c r="E575" s="47"/>
      <c r="F575" s="47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3.1" spans="1:26">
      <c r="A576" s="40"/>
      <c r="B576" s="47"/>
      <c r="C576" s="47"/>
      <c r="D576" s="47"/>
      <c r="E576" s="47"/>
      <c r="F576" s="47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3.1" spans="1:26">
      <c r="A577" s="40"/>
      <c r="B577" s="47"/>
      <c r="C577" s="47"/>
      <c r="D577" s="47"/>
      <c r="E577" s="47"/>
      <c r="F577" s="47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3.1" spans="1:26">
      <c r="A578" s="40"/>
      <c r="B578" s="47"/>
      <c r="C578" s="47"/>
      <c r="D578" s="47"/>
      <c r="E578" s="47"/>
      <c r="F578" s="47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3.1" spans="1:26">
      <c r="A579" s="40"/>
      <c r="B579" s="47"/>
      <c r="C579" s="47"/>
      <c r="D579" s="47"/>
      <c r="E579" s="47"/>
      <c r="F579" s="47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3.1" spans="1:26">
      <c r="A580" s="40"/>
      <c r="B580" s="47"/>
      <c r="C580" s="47"/>
      <c r="D580" s="47"/>
      <c r="E580" s="47"/>
      <c r="F580" s="47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3.1" spans="1:26">
      <c r="A581" s="40"/>
      <c r="B581" s="47"/>
      <c r="C581" s="47"/>
      <c r="D581" s="47"/>
      <c r="E581" s="47"/>
      <c r="F581" s="47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3.1" spans="1:26">
      <c r="A582" s="40"/>
      <c r="B582" s="47"/>
      <c r="C582" s="47"/>
      <c r="D582" s="47"/>
      <c r="E582" s="47"/>
      <c r="F582" s="47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3.1" spans="1:26">
      <c r="A583" s="40"/>
      <c r="B583" s="47"/>
      <c r="C583" s="47"/>
      <c r="D583" s="47"/>
      <c r="E583" s="47"/>
      <c r="F583" s="47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3.1" spans="1:26">
      <c r="A584" s="40"/>
      <c r="B584" s="47"/>
      <c r="C584" s="47"/>
      <c r="D584" s="47"/>
      <c r="E584" s="47"/>
      <c r="F584" s="47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3.1" spans="1:26">
      <c r="A585" s="40"/>
      <c r="B585" s="47"/>
      <c r="C585" s="47"/>
      <c r="D585" s="47"/>
      <c r="E585" s="47"/>
      <c r="F585" s="47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3.1" spans="1:26">
      <c r="A586" s="40"/>
      <c r="B586" s="47"/>
      <c r="C586" s="47"/>
      <c r="D586" s="47"/>
      <c r="E586" s="47"/>
      <c r="F586" s="47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3.1" spans="1:26">
      <c r="A587" s="40"/>
      <c r="B587" s="47"/>
      <c r="C587" s="47"/>
      <c r="D587" s="47"/>
      <c r="E587" s="47"/>
      <c r="F587" s="47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3.1" spans="1:26">
      <c r="A588" s="40"/>
      <c r="B588" s="47"/>
      <c r="C588" s="47"/>
      <c r="D588" s="47"/>
      <c r="E588" s="47"/>
      <c r="F588" s="47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3.1" spans="1:26">
      <c r="A589" s="40"/>
      <c r="B589" s="47"/>
      <c r="C589" s="47"/>
      <c r="D589" s="47"/>
      <c r="E589" s="47"/>
      <c r="F589" s="47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3.1" spans="1:26">
      <c r="A590" s="40"/>
      <c r="B590" s="47"/>
      <c r="C590" s="47"/>
      <c r="D590" s="47"/>
      <c r="E590" s="47"/>
      <c r="F590" s="47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3.1" spans="1:26">
      <c r="A591" s="40"/>
      <c r="B591" s="47"/>
      <c r="C591" s="47"/>
      <c r="D591" s="47"/>
      <c r="E591" s="47"/>
      <c r="F591" s="47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3.1" spans="1:26">
      <c r="A592" s="40"/>
      <c r="B592" s="47"/>
      <c r="C592" s="47"/>
      <c r="D592" s="47"/>
      <c r="E592" s="47"/>
      <c r="F592" s="47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3.1" spans="1:26">
      <c r="A593" s="40"/>
      <c r="B593" s="47"/>
      <c r="C593" s="47"/>
      <c r="D593" s="47"/>
      <c r="E593" s="47"/>
      <c r="F593" s="47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3.1" spans="1:26">
      <c r="A594" s="40"/>
      <c r="B594" s="47"/>
      <c r="C594" s="47"/>
      <c r="D594" s="47"/>
      <c r="E594" s="47"/>
      <c r="F594" s="47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3.1" spans="1:26">
      <c r="A595" s="40"/>
      <c r="B595" s="47"/>
      <c r="C595" s="47"/>
      <c r="D595" s="47"/>
      <c r="E595" s="47"/>
      <c r="F595" s="47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3.1" spans="1:26">
      <c r="A596" s="40"/>
      <c r="B596" s="47"/>
      <c r="C596" s="47"/>
      <c r="D596" s="47"/>
      <c r="E596" s="47"/>
      <c r="F596" s="47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3.1" spans="1:26">
      <c r="A597" s="40"/>
      <c r="B597" s="47"/>
      <c r="C597" s="47"/>
      <c r="D597" s="47"/>
      <c r="E597" s="47"/>
      <c r="F597" s="47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3.1" spans="1:26">
      <c r="A598" s="40"/>
      <c r="B598" s="47"/>
      <c r="C598" s="47"/>
      <c r="D598" s="47"/>
      <c r="E598" s="47"/>
      <c r="F598" s="47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3.1" spans="1:26">
      <c r="A599" s="40"/>
      <c r="B599" s="47"/>
      <c r="C599" s="47"/>
      <c r="D599" s="47"/>
      <c r="E599" s="47"/>
      <c r="F599" s="47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3.1" spans="1:26">
      <c r="A600" s="40"/>
      <c r="B600" s="47"/>
      <c r="C600" s="47"/>
      <c r="D600" s="47"/>
      <c r="E600" s="47"/>
      <c r="F600" s="47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3.1" spans="1:26">
      <c r="A601" s="40"/>
      <c r="B601" s="47"/>
      <c r="C601" s="47"/>
      <c r="D601" s="47"/>
      <c r="E601" s="47"/>
      <c r="F601" s="47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3.1" spans="1:26">
      <c r="A602" s="40"/>
      <c r="B602" s="47"/>
      <c r="C602" s="47"/>
      <c r="D602" s="47"/>
      <c r="E602" s="47"/>
      <c r="F602" s="47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3.1" spans="1:26">
      <c r="A603" s="40"/>
      <c r="B603" s="47"/>
      <c r="C603" s="47"/>
      <c r="D603" s="47"/>
      <c r="E603" s="47"/>
      <c r="F603" s="47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3.1" spans="1:26">
      <c r="A604" s="40"/>
      <c r="B604" s="47"/>
      <c r="C604" s="47"/>
      <c r="D604" s="47"/>
      <c r="E604" s="47"/>
      <c r="F604" s="47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3.1" spans="1:26">
      <c r="A605" s="40"/>
      <c r="B605" s="47"/>
      <c r="C605" s="47"/>
      <c r="D605" s="47"/>
      <c r="E605" s="47"/>
      <c r="F605" s="47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3.1" spans="1:26">
      <c r="A606" s="40"/>
      <c r="B606" s="47"/>
      <c r="C606" s="47"/>
      <c r="D606" s="47"/>
      <c r="E606" s="47"/>
      <c r="F606" s="47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3.1" spans="1:26">
      <c r="A607" s="40"/>
      <c r="B607" s="47"/>
      <c r="C607" s="47"/>
      <c r="D607" s="47"/>
      <c r="E607" s="47"/>
      <c r="F607" s="47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3.1" spans="1:26">
      <c r="A608" s="40"/>
      <c r="B608" s="47"/>
      <c r="C608" s="47"/>
      <c r="D608" s="47"/>
      <c r="E608" s="47"/>
      <c r="F608" s="47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3.1" spans="1:26">
      <c r="A609" s="40"/>
      <c r="B609" s="47"/>
      <c r="C609" s="47"/>
      <c r="D609" s="47"/>
      <c r="E609" s="47"/>
      <c r="F609" s="47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3.1" spans="1:26">
      <c r="A610" s="40"/>
      <c r="B610" s="47"/>
      <c r="C610" s="47"/>
      <c r="D610" s="47"/>
      <c r="E610" s="47"/>
      <c r="F610" s="47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3.1" spans="1:26">
      <c r="A611" s="40"/>
      <c r="B611" s="47"/>
      <c r="C611" s="47"/>
      <c r="D611" s="47"/>
      <c r="E611" s="47"/>
      <c r="F611" s="47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3.1" spans="1:26">
      <c r="A612" s="40"/>
      <c r="B612" s="47"/>
      <c r="C612" s="47"/>
      <c r="D612" s="47"/>
      <c r="E612" s="47"/>
      <c r="F612" s="47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3.1" spans="1:26">
      <c r="A613" s="40"/>
      <c r="B613" s="47"/>
      <c r="C613" s="47"/>
      <c r="D613" s="47"/>
      <c r="E613" s="47"/>
      <c r="F613" s="47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3.1" spans="1:26">
      <c r="A614" s="40"/>
      <c r="B614" s="47"/>
      <c r="C614" s="47"/>
      <c r="D614" s="47"/>
      <c r="E614" s="47"/>
      <c r="F614" s="47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3.1" spans="1:26">
      <c r="A615" s="40"/>
      <c r="B615" s="47"/>
      <c r="C615" s="47"/>
      <c r="D615" s="47"/>
      <c r="E615" s="47"/>
      <c r="F615" s="47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3.1" spans="1:26">
      <c r="A616" s="40"/>
      <c r="B616" s="47"/>
      <c r="C616" s="47"/>
      <c r="D616" s="47"/>
      <c r="E616" s="47"/>
      <c r="F616" s="47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3.1" spans="1:26">
      <c r="A617" s="40"/>
      <c r="B617" s="47"/>
      <c r="C617" s="47"/>
      <c r="D617" s="47"/>
      <c r="E617" s="47"/>
      <c r="F617" s="47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3.1" spans="1:26">
      <c r="A618" s="40"/>
      <c r="B618" s="47"/>
      <c r="C618" s="47"/>
      <c r="D618" s="47"/>
      <c r="E618" s="47"/>
      <c r="F618" s="47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3.1" spans="1:26">
      <c r="A619" s="40"/>
      <c r="B619" s="47"/>
      <c r="C619" s="47"/>
      <c r="D619" s="47"/>
      <c r="E619" s="47"/>
      <c r="F619" s="47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3.1" spans="1:26">
      <c r="A620" s="40"/>
      <c r="B620" s="47"/>
      <c r="C620" s="47"/>
      <c r="D620" s="47"/>
      <c r="E620" s="47"/>
      <c r="F620" s="47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3.1" spans="1:26">
      <c r="A621" s="40"/>
      <c r="B621" s="47"/>
      <c r="C621" s="47"/>
      <c r="D621" s="47"/>
      <c r="E621" s="47"/>
      <c r="F621" s="47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3.1" spans="1:26">
      <c r="A622" s="40"/>
      <c r="B622" s="47"/>
      <c r="C622" s="47"/>
      <c r="D622" s="47"/>
      <c r="E622" s="47"/>
      <c r="F622" s="47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3.1" spans="1:26">
      <c r="A623" s="40"/>
      <c r="B623" s="47"/>
      <c r="C623" s="47"/>
      <c r="D623" s="47"/>
      <c r="E623" s="47"/>
      <c r="F623" s="47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3.1" spans="1:26">
      <c r="A624" s="40"/>
      <c r="B624" s="47"/>
      <c r="C624" s="47"/>
      <c r="D624" s="47"/>
      <c r="E624" s="47"/>
      <c r="F624" s="47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3.1" spans="1:26">
      <c r="A625" s="40"/>
      <c r="B625" s="47"/>
      <c r="C625" s="47"/>
      <c r="D625" s="47"/>
      <c r="E625" s="47"/>
      <c r="F625" s="47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3.1" spans="1:26">
      <c r="A626" s="40"/>
      <c r="B626" s="47"/>
      <c r="C626" s="47"/>
      <c r="D626" s="47"/>
      <c r="E626" s="47"/>
      <c r="F626" s="47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3.1" spans="1:26">
      <c r="A627" s="40"/>
      <c r="B627" s="47"/>
      <c r="C627" s="47"/>
      <c r="D627" s="47"/>
      <c r="E627" s="47"/>
      <c r="F627" s="47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3.1" spans="1:26">
      <c r="A628" s="40"/>
      <c r="B628" s="47"/>
      <c r="C628" s="47"/>
      <c r="D628" s="47"/>
      <c r="E628" s="47"/>
      <c r="F628" s="47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3.1" spans="1:26">
      <c r="A629" s="40"/>
      <c r="B629" s="47"/>
      <c r="C629" s="47"/>
      <c r="D629" s="47"/>
      <c r="E629" s="47"/>
      <c r="F629" s="47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3.1" spans="1:26">
      <c r="A630" s="40"/>
      <c r="B630" s="47"/>
      <c r="C630" s="47"/>
      <c r="D630" s="47"/>
      <c r="E630" s="47"/>
      <c r="F630" s="47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3.1" spans="1:26">
      <c r="A631" s="40"/>
      <c r="B631" s="47"/>
      <c r="C631" s="47"/>
      <c r="D631" s="47"/>
      <c r="E631" s="47"/>
      <c r="F631" s="47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3.1" spans="1:26">
      <c r="A632" s="40"/>
      <c r="B632" s="47"/>
      <c r="C632" s="47"/>
      <c r="D632" s="47"/>
      <c r="E632" s="47"/>
      <c r="F632" s="47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3.1" spans="1:26">
      <c r="A633" s="40"/>
      <c r="B633" s="47"/>
      <c r="C633" s="47"/>
      <c r="D633" s="47"/>
      <c r="E633" s="47"/>
      <c r="F633" s="47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3.1" spans="1:26">
      <c r="A634" s="40"/>
      <c r="B634" s="47"/>
      <c r="C634" s="47"/>
      <c r="D634" s="47"/>
      <c r="E634" s="47"/>
      <c r="F634" s="47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3.1" spans="1:26">
      <c r="A635" s="40"/>
      <c r="B635" s="47"/>
      <c r="C635" s="47"/>
      <c r="D635" s="47"/>
      <c r="E635" s="47"/>
      <c r="F635" s="47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3.1" spans="1:26">
      <c r="A636" s="40"/>
      <c r="B636" s="47"/>
      <c r="C636" s="47"/>
      <c r="D636" s="47"/>
      <c r="E636" s="47"/>
      <c r="F636" s="47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3.1" spans="1:26">
      <c r="A637" s="40"/>
      <c r="B637" s="47"/>
      <c r="C637" s="47"/>
      <c r="D637" s="47"/>
      <c r="E637" s="47"/>
      <c r="F637" s="47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3.1" spans="1:26">
      <c r="A638" s="40"/>
      <c r="B638" s="47"/>
      <c r="C638" s="47"/>
      <c r="D638" s="47"/>
      <c r="E638" s="47"/>
      <c r="F638" s="47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3.1" spans="1:26">
      <c r="A639" s="40"/>
      <c r="B639" s="47"/>
      <c r="C639" s="47"/>
      <c r="D639" s="47"/>
      <c r="E639" s="47"/>
      <c r="F639" s="47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3.1" spans="1:26">
      <c r="A640" s="40"/>
      <c r="B640" s="47"/>
      <c r="C640" s="47"/>
      <c r="D640" s="47"/>
      <c r="E640" s="47"/>
      <c r="F640" s="47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3.1" spans="1:26">
      <c r="A641" s="40"/>
      <c r="B641" s="47"/>
      <c r="C641" s="47"/>
      <c r="D641" s="47"/>
      <c r="E641" s="47"/>
      <c r="F641" s="47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3.1" spans="1:26">
      <c r="A642" s="40"/>
      <c r="B642" s="47"/>
      <c r="C642" s="47"/>
      <c r="D642" s="47"/>
      <c r="E642" s="47"/>
      <c r="F642" s="47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3.1" spans="1:26">
      <c r="A643" s="40"/>
      <c r="B643" s="47"/>
      <c r="C643" s="47"/>
      <c r="D643" s="47"/>
      <c r="E643" s="47"/>
      <c r="F643" s="47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3.1" spans="1:26">
      <c r="A644" s="40"/>
      <c r="B644" s="47"/>
      <c r="C644" s="47"/>
      <c r="D644" s="47"/>
      <c r="E644" s="47"/>
      <c r="F644" s="47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3.1" spans="1:26">
      <c r="A645" s="40"/>
      <c r="B645" s="47"/>
      <c r="C645" s="47"/>
      <c r="D645" s="47"/>
      <c r="E645" s="47"/>
      <c r="F645" s="47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3.1" spans="1:26">
      <c r="A646" s="40"/>
      <c r="B646" s="47"/>
      <c r="C646" s="47"/>
      <c r="D646" s="47"/>
      <c r="E646" s="47"/>
      <c r="F646" s="47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3.1" spans="1:26">
      <c r="A647" s="40"/>
      <c r="B647" s="47"/>
      <c r="C647" s="47"/>
      <c r="D647" s="47"/>
      <c r="E647" s="47"/>
      <c r="F647" s="47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3.1" spans="1:26">
      <c r="A648" s="40"/>
      <c r="B648" s="47"/>
      <c r="C648" s="47"/>
      <c r="D648" s="47"/>
      <c r="E648" s="47"/>
      <c r="F648" s="47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3.1" spans="1:26">
      <c r="A649" s="40"/>
      <c r="B649" s="47"/>
      <c r="C649" s="47"/>
      <c r="D649" s="47"/>
      <c r="E649" s="47"/>
      <c r="F649" s="47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3.1" spans="1:26">
      <c r="A650" s="40"/>
      <c r="B650" s="47"/>
      <c r="C650" s="47"/>
      <c r="D650" s="47"/>
      <c r="E650" s="47"/>
      <c r="F650" s="47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3.1" spans="1:26">
      <c r="A651" s="40"/>
      <c r="B651" s="47"/>
      <c r="C651" s="47"/>
      <c r="D651" s="47"/>
      <c r="E651" s="47"/>
      <c r="F651" s="47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3.1" spans="1:26">
      <c r="A652" s="40"/>
      <c r="B652" s="47"/>
      <c r="C652" s="47"/>
      <c r="D652" s="47"/>
      <c r="E652" s="47"/>
      <c r="F652" s="47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3.1" spans="1:26">
      <c r="A653" s="40"/>
      <c r="B653" s="47"/>
      <c r="C653" s="47"/>
      <c r="D653" s="47"/>
      <c r="E653" s="47"/>
      <c r="F653" s="47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3.1" spans="1:26">
      <c r="A654" s="40"/>
      <c r="B654" s="47"/>
      <c r="C654" s="47"/>
      <c r="D654" s="47"/>
      <c r="E654" s="47"/>
      <c r="F654" s="47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3.1" spans="1:26">
      <c r="A655" s="40"/>
      <c r="B655" s="47"/>
      <c r="C655" s="47"/>
      <c r="D655" s="47"/>
      <c r="E655" s="47"/>
      <c r="F655" s="47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3.1" spans="1:26">
      <c r="A656" s="40"/>
      <c r="B656" s="47"/>
      <c r="C656" s="47"/>
      <c r="D656" s="47"/>
      <c r="E656" s="47"/>
      <c r="F656" s="47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3.1" spans="1:26">
      <c r="A657" s="40"/>
      <c r="B657" s="47"/>
      <c r="C657" s="47"/>
      <c r="D657" s="47"/>
      <c r="E657" s="47"/>
      <c r="F657" s="47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3.1" spans="1:26">
      <c r="A658" s="40"/>
      <c r="B658" s="47"/>
      <c r="C658" s="47"/>
      <c r="D658" s="47"/>
      <c r="E658" s="47"/>
      <c r="F658" s="47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3.1" spans="1:26">
      <c r="A659" s="40"/>
      <c r="B659" s="47"/>
      <c r="C659" s="47"/>
      <c r="D659" s="47"/>
      <c r="E659" s="47"/>
      <c r="F659" s="47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3.1" spans="1:26">
      <c r="A660" s="40"/>
      <c r="B660" s="47"/>
      <c r="C660" s="47"/>
      <c r="D660" s="47"/>
      <c r="E660" s="47"/>
      <c r="F660" s="47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3.1" spans="1:26">
      <c r="A661" s="40"/>
      <c r="B661" s="47"/>
      <c r="C661" s="47"/>
      <c r="D661" s="47"/>
      <c r="E661" s="47"/>
      <c r="F661" s="47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3.1" spans="1:26">
      <c r="A662" s="40"/>
      <c r="B662" s="47"/>
      <c r="C662" s="47"/>
      <c r="D662" s="47"/>
      <c r="E662" s="47"/>
      <c r="F662" s="47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3.1" spans="1:26">
      <c r="A663" s="40"/>
      <c r="B663" s="47"/>
      <c r="C663" s="47"/>
      <c r="D663" s="47"/>
      <c r="E663" s="47"/>
      <c r="F663" s="47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3.1" spans="1:26">
      <c r="A664" s="40"/>
      <c r="B664" s="47"/>
      <c r="C664" s="47"/>
      <c r="D664" s="47"/>
      <c r="E664" s="47"/>
      <c r="F664" s="47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3.1" spans="1:26">
      <c r="A665" s="40"/>
      <c r="B665" s="47"/>
      <c r="C665" s="47"/>
      <c r="D665" s="47"/>
      <c r="E665" s="47"/>
      <c r="F665" s="47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3.1" spans="1:26">
      <c r="A666" s="40"/>
      <c r="B666" s="47"/>
      <c r="C666" s="47"/>
      <c r="D666" s="47"/>
      <c r="E666" s="47"/>
      <c r="F666" s="47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3.1" spans="1:26">
      <c r="A667" s="40"/>
      <c r="B667" s="47"/>
      <c r="C667" s="47"/>
      <c r="D667" s="47"/>
      <c r="E667" s="47"/>
      <c r="F667" s="47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3.1" spans="1:26">
      <c r="A668" s="40"/>
      <c r="B668" s="47"/>
      <c r="C668" s="47"/>
      <c r="D668" s="47"/>
      <c r="E668" s="47"/>
      <c r="F668" s="47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3.1" spans="1:26">
      <c r="A669" s="40"/>
      <c r="B669" s="47"/>
      <c r="C669" s="47"/>
      <c r="D669" s="47"/>
      <c r="E669" s="47"/>
      <c r="F669" s="47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3.1" spans="1:26">
      <c r="A670" s="40"/>
      <c r="B670" s="47"/>
      <c r="C670" s="47"/>
      <c r="D670" s="47"/>
      <c r="E670" s="47"/>
      <c r="F670" s="47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3.1" spans="1:26">
      <c r="A671" s="40"/>
      <c r="B671" s="47"/>
      <c r="C671" s="47"/>
      <c r="D671" s="47"/>
      <c r="E671" s="47"/>
      <c r="F671" s="47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3.1" spans="1:26">
      <c r="A672" s="40"/>
      <c r="B672" s="47"/>
      <c r="C672" s="47"/>
      <c r="D672" s="47"/>
      <c r="E672" s="47"/>
      <c r="F672" s="47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3.1" spans="1:26">
      <c r="A673" s="40"/>
      <c r="B673" s="47"/>
      <c r="C673" s="47"/>
      <c r="D673" s="47"/>
      <c r="E673" s="47"/>
      <c r="F673" s="47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3.1" spans="1:26">
      <c r="A674" s="40"/>
      <c r="B674" s="47"/>
      <c r="C674" s="47"/>
      <c r="D674" s="47"/>
      <c r="E674" s="47"/>
      <c r="F674" s="47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3.1" spans="1:26">
      <c r="A675" s="40"/>
      <c r="B675" s="47"/>
      <c r="C675" s="47"/>
      <c r="D675" s="47"/>
      <c r="E675" s="47"/>
      <c r="F675" s="47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3.1" spans="1:26">
      <c r="A676" s="40"/>
      <c r="B676" s="47"/>
      <c r="C676" s="47"/>
      <c r="D676" s="47"/>
      <c r="E676" s="47"/>
      <c r="F676" s="47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3.1" spans="1:26">
      <c r="A677" s="40"/>
      <c r="B677" s="47"/>
      <c r="C677" s="47"/>
      <c r="D677" s="47"/>
      <c r="E677" s="47"/>
      <c r="F677" s="47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3.1" spans="1:26">
      <c r="A678" s="40"/>
      <c r="B678" s="47"/>
      <c r="C678" s="47"/>
      <c r="D678" s="47"/>
      <c r="E678" s="47"/>
      <c r="F678" s="47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3.1" spans="1:26">
      <c r="A679" s="40"/>
      <c r="B679" s="47"/>
      <c r="C679" s="47"/>
      <c r="D679" s="47"/>
      <c r="E679" s="47"/>
      <c r="F679" s="47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3.1" spans="1:26">
      <c r="A680" s="40"/>
      <c r="B680" s="47"/>
      <c r="C680" s="47"/>
      <c r="D680" s="47"/>
      <c r="E680" s="47"/>
      <c r="F680" s="47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3.1" spans="1:26">
      <c r="A681" s="40"/>
      <c r="B681" s="47"/>
      <c r="C681" s="47"/>
      <c r="D681" s="47"/>
      <c r="E681" s="47"/>
      <c r="F681" s="47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3.1" spans="1:26">
      <c r="A682" s="40"/>
      <c r="B682" s="47"/>
      <c r="C682" s="47"/>
      <c r="D682" s="47"/>
      <c r="E682" s="47"/>
      <c r="F682" s="47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3.1" spans="1:26">
      <c r="A683" s="40"/>
      <c r="B683" s="47"/>
      <c r="C683" s="47"/>
      <c r="D683" s="47"/>
      <c r="E683" s="47"/>
      <c r="F683" s="47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3.1" spans="1:26">
      <c r="A684" s="40"/>
      <c r="B684" s="47"/>
      <c r="C684" s="47"/>
      <c r="D684" s="47"/>
      <c r="E684" s="47"/>
      <c r="F684" s="47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3.1" spans="1:26">
      <c r="A685" s="40"/>
      <c r="B685" s="47"/>
      <c r="C685" s="47"/>
      <c r="D685" s="47"/>
      <c r="E685" s="47"/>
      <c r="F685" s="47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3.1" spans="1:26">
      <c r="A686" s="40"/>
      <c r="B686" s="47"/>
      <c r="C686" s="47"/>
      <c r="D686" s="47"/>
      <c r="E686" s="47"/>
      <c r="F686" s="47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3.1" spans="1:26">
      <c r="A687" s="40"/>
      <c r="B687" s="47"/>
      <c r="C687" s="47"/>
      <c r="D687" s="47"/>
      <c r="E687" s="47"/>
      <c r="F687" s="47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3.1" spans="1:26">
      <c r="A688" s="40"/>
      <c r="B688" s="47"/>
      <c r="C688" s="47"/>
      <c r="D688" s="47"/>
      <c r="E688" s="47"/>
      <c r="F688" s="47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3.1" spans="1:26">
      <c r="A689" s="40"/>
      <c r="B689" s="47"/>
      <c r="C689" s="47"/>
      <c r="D689" s="47"/>
      <c r="E689" s="47"/>
      <c r="F689" s="47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3.1" spans="1:26">
      <c r="A690" s="40"/>
      <c r="B690" s="47"/>
      <c r="C690" s="47"/>
      <c r="D690" s="47"/>
      <c r="E690" s="47"/>
      <c r="F690" s="47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3.1" spans="1:26">
      <c r="A691" s="40"/>
      <c r="B691" s="47"/>
      <c r="C691" s="47"/>
      <c r="D691" s="47"/>
      <c r="E691" s="47"/>
      <c r="F691" s="47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3.1" spans="1:26">
      <c r="A692" s="40"/>
      <c r="B692" s="47"/>
      <c r="C692" s="47"/>
      <c r="D692" s="47"/>
      <c r="E692" s="47"/>
      <c r="F692" s="47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3.1" spans="1:26">
      <c r="A693" s="40"/>
      <c r="B693" s="47"/>
      <c r="C693" s="47"/>
      <c r="D693" s="47"/>
      <c r="E693" s="47"/>
      <c r="F693" s="47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3.1" spans="1:26">
      <c r="A694" s="40"/>
      <c r="B694" s="47"/>
      <c r="C694" s="47"/>
      <c r="D694" s="47"/>
      <c r="E694" s="47"/>
      <c r="F694" s="47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3.1" spans="1:26">
      <c r="A695" s="40"/>
      <c r="B695" s="47"/>
      <c r="C695" s="47"/>
      <c r="D695" s="47"/>
      <c r="E695" s="47"/>
      <c r="F695" s="47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3.1" spans="1:26">
      <c r="A696" s="40"/>
      <c r="B696" s="47"/>
      <c r="C696" s="47"/>
      <c r="D696" s="47"/>
      <c r="E696" s="47"/>
      <c r="F696" s="47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3.1" spans="1:26">
      <c r="A697" s="40"/>
      <c r="B697" s="47"/>
      <c r="C697" s="47"/>
      <c r="D697" s="47"/>
      <c r="E697" s="47"/>
      <c r="F697" s="47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3.1" spans="1:26">
      <c r="A698" s="40"/>
      <c r="B698" s="47"/>
      <c r="C698" s="47"/>
      <c r="D698" s="47"/>
      <c r="E698" s="47"/>
      <c r="F698" s="47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3.1" spans="1:26">
      <c r="A699" s="40"/>
      <c r="B699" s="47"/>
      <c r="C699" s="47"/>
      <c r="D699" s="47"/>
      <c r="E699" s="47"/>
      <c r="F699" s="47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3.1" spans="1:26">
      <c r="A700" s="40"/>
      <c r="B700" s="47"/>
      <c r="C700" s="47"/>
      <c r="D700" s="47"/>
      <c r="E700" s="47"/>
      <c r="F700" s="47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3.1" spans="1:26">
      <c r="A701" s="40"/>
      <c r="B701" s="47"/>
      <c r="C701" s="47"/>
      <c r="D701" s="47"/>
      <c r="E701" s="47"/>
      <c r="F701" s="47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3.1" spans="1:26">
      <c r="A702" s="40"/>
      <c r="B702" s="47"/>
      <c r="C702" s="47"/>
      <c r="D702" s="47"/>
      <c r="E702" s="47"/>
      <c r="F702" s="47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3.1" spans="1:26">
      <c r="A703" s="40"/>
      <c r="B703" s="47"/>
      <c r="C703" s="47"/>
      <c r="D703" s="47"/>
      <c r="E703" s="47"/>
      <c r="F703" s="47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3.1" spans="1:26">
      <c r="A704" s="40"/>
      <c r="B704" s="47"/>
      <c r="C704" s="47"/>
      <c r="D704" s="47"/>
      <c r="E704" s="47"/>
      <c r="F704" s="47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3.1" spans="1:26">
      <c r="A705" s="40"/>
      <c r="B705" s="47"/>
      <c r="C705" s="47"/>
      <c r="D705" s="47"/>
      <c r="E705" s="47"/>
      <c r="F705" s="47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3.1" spans="1:26">
      <c r="A706" s="40"/>
      <c r="B706" s="47"/>
      <c r="C706" s="47"/>
      <c r="D706" s="47"/>
      <c r="E706" s="47"/>
      <c r="F706" s="47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3.1" spans="1:26">
      <c r="A707" s="40"/>
      <c r="B707" s="47"/>
      <c r="C707" s="47"/>
      <c r="D707" s="47"/>
      <c r="E707" s="47"/>
      <c r="F707" s="47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3.1" spans="1:26">
      <c r="A708" s="40"/>
      <c r="B708" s="47"/>
      <c r="C708" s="47"/>
      <c r="D708" s="47"/>
      <c r="E708" s="47"/>
      <c r="F708" s="47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3.1" spans="1:26">
      <c r="A709" s="40"/>
      <c r="B709" s="47"/>
      <c r="C709" s="47"/>
      <c r="D709" s="47"/>
      <c r="E709" s="47"/>
      <c r="F709" s="47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3.1" spans="1:26">
      <c r="A710" s="40"/>
      <c r="B710" s="47"/>
      <c r="C710" s="47"/>
      <c r="D710" s="47"/>
      <c r="E710" s="47"/>
      <c r="F710" s="47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3.1" spans="1:26">
      <c r="A711" s="40"/>
      <c r="B711" s="47"/>
      <c r="C711" s="47"/>
      <c r="D711" s="47"/>
      <c r="E711" s="47"/>
      <c r="F711" s="47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3.1" spans="1:26">
      <c r="A712" s="40"/>
      <c r="B712" s="47"/>
      <c r="C712" s="47"/>
      <c r="D712" s="47"/>
      <c r="E712" s="47"/>
      <c r="F712" s="47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3.1" spans="1:26">
      <c r="A713" s="40"/>
      <c r="B713" s="47"/>
      <c r="C713" s="47"/>
      <c r="D713" s="47"/>
      <c r="E713" s="47"/>
      <c r="F713" s="47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3.1" spans="1:26">
      <c r="A714" s="40"/>
      <c r="B714" s="47"/>
      <c r="C714" s="47"/>
      <c r="D714" s="47"/>
      <c r="E714" s="47"/>
      <c r="F714" s="47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3.1" spans="1:26">
      <c r="A715" s="40"/>
      <c r="B715" s="47"/>
      <c r="C715" s="47"/>
      <c r="D715" s="47"/>
      <c r="E715" s="47"/>
      <c r="F715" s="47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3.1" spans="1:26">
      <c r="A716" s="40"/>
      <c r="B716" s="47"/>
      <c r="C716" s="47"/>
      <c r="D716" s="47"/>
      <c r="E716" s="47"/>
      <c r="F716" s="47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3.1" spans="1:26">
      <c r="A717" s="40"/>
      <c r="B717" s="47"/>
      <c r="C717" s="47"/>
      <c r="D717" s="47"/>
      <c r="E717" s="47"/>
      <c r="F717" s="47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3.1" spans="1:26">
      <c r="A718" s="40"/>
      <c r="B718" s="47"/>
      <c r="C718" s="47"/>
      <c r="D718" s="47"/>
      <c r="E718" s="47"/>
      <c r="F718" s="47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3.1" spans="1:26">
      <c r="A719" s="40"/>
      <c r="B719" s="47"/>
      <c r="C719" s="47"/>
      <c r="D719" s="47"/>
      <c r="E719" s="47"/>
      <c r="F719" s="47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3.1" spans="1:26">
      <c r="A720" s="40"/>
      <c r="B720" s="47"/>
      <c r="C720" s="47"/>
      <c r="D720" s="47"/>
      <c r="E720" s="47"/>
      <c r="F720" s="47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3.1" spans="1:26">
      <c r="A721" s="40"/>
      <c r="B721" s="47"/>
      <c r="C721" s="47"/>
      <c r="D721" s="47"/>
      <c r="E721" s="47"/>
      <c r="F721" s="47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3.1" spans="1:26">
      <c r="A722" s="40"/>
      <c r="B722" s="47"/>
      <c r="C722" s="47"/>
      <c r="D722" s="47"/>
      <c r="E722" s="47"/>
      <c r="F722" s="47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3.1" spans="1:26">
      <c r="A723" s="40"/>
      <c r="B723" s="47"/>
      <c r="C723" s="47"/>
      <c r="D723" s="47"/>
      <c r="E723" s="47"/>
      <c r="F723" s="47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3.1" spans="1:26">
      <c r="A724" s="40"/>
      <c r="B724" s="47"/>
      <c r="C724" s="47"/>
      <c r="D724" s="47"/>
      <c r="E724" s="47"/>
      <c r="F724" s="47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3.1" spans="1:26">
      <c r="A725" s="40"/>
      <c r="B725" s="47"/>
      <c r="C725" s="47"/>
      <c r="D725" s="47"/>
      <c r="E725" s="47"/>
      <c r="F725" s="47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3.1" spans="1:26">
      <c r="A726" s="40"/>
      <c r="B726" s="47"/>
      <c r="C726" s="47"/>
      <c r="D726" s="47"/>
      <c r="E726" s="47"/>
      <c r="F726" s="47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3.1" spans="1:26">
      <c r="A727" s="40"/>
      <c r="B727" s="47"/>
      <c r="C727" s="47"/>
      <c r="D727" s="47"/>
      <c r="E727" s="47"/>
      <c r="F727" s="47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3.1" spans="1:26">
      <c r="A728" s="40"/>
      <c r="B728" s="47"/>
      <c r="C728" s="47"/>
      <c r="D728" s="47"/>
      <c r="E728" s="47"/>
      <c r="F728" s="47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3.1" spans="1:26">
      <c r="A729" s="40"/>
      <c r="B729" s="47"/>
      <c r="C729" s="47"/>
      <c r="D729" s="47"/>
      <c r="E729" s="47"/>
      <c r="F729" s="47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3.1" spans="1:26">
      <c r="A730" s="40"/>
      <c r="B730" s="47"/>
      <c r="C730" s="47"/>
      <c r="D730" s="47"/>
      <c r="E730" s="47"/>
      <c r="F730" s="47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3.1" spans="1:26">
      <c r="A731" s="40"/>
      <c r="B731" s="47"/>
      <c r="C731" s="47"/>
      <c r="D731" s="47"/>
      <c r="E731" s="47"/>
      <c r="F731" s="47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3.1" spans="1:26">
      <c r="A732" s="40"/>
      <c r="B732" s="47"/>
      <c r="C732" s="47"/>
      <c r="D732" s="47"/>
      <c r="E732" s="47"/>
      <c r="F732" s="47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3.1" spans="1:26">
      <c r="A733" s="40"/>
      <c r="B733" s="47"/>
      <c r="C733" s="47"/>
      <c r="D733" s="47"/>
      <c r="E733" s="47"/>
      <c r="F733" s="47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3.1" spans="1:26">
      <c r="A734" s="40"/>
      <c r="B734" s="47"/>
      <c r="C734" s="47"/>
      <c r="D734" s="47"/>
      <c r="E734" s="47"/>
      <c r="F734" s="47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3.1" spans="1:26">
      <c r="A735" s="40"/>
      <c r="B735" s="47"/>
      <c r="C735" s="47"/>
      <c r="D735" s="47"/>
      <c r="E735" s="47"/>
      <c r="F735" s="47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3.1" spans="1:26">
      <c r="A736" s="40"/>
      <c r="B736" s="47"/>
      <c r="C736" s="47"/>
      <c r="D736" s="47"/>
      <c r="E736" s="47"/>
      <c r="F736" s="47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3.1" spans="1:26">
      <c r="A737" s="40"/>
      <c r="B737" s="47"/>
      <c r="C737" s="47"/>
      <c r="D737" s="47"/>
      <c r="E737" s="47"/>
      <c r="F737" s="47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3.1" spans="1:26">
      <c r="A738" s="40"/>
      <c r="B738" s="47"/>
      <c r="C738" s="47"/>
      <c r="D738" s="47"/>
      <c r="E738" s="47"/>
      <c r="F738" s="47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3.1" spans="1:26">
      <c r="A739" s="40"/>
      <c r="B739" s="47"/>
      <c r="C739" s="47"/>
      <c r="D739" s="47"/>
      <c r="E739" s="47"/>
      <c r="F739" s="47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3.1" spans="1:26">
      <c r="A740" s="40"/>
      <c r="B740" s="47"/>
      <c r="C740" s="47"/>
      <c r="D740" s="47"/>
      <c r="E740" s="47"/>
      <c r="F740" s="47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3.1" spans="1:26">
      <c r="A741" s="40"/>
      <c r="B741" s="47"/>
      <c r="C741" s="47"/>
      <c r="D741" s="47"/>
      <c r="E741" s="47"/>
      <c r="F741" s="47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3.1" spans="1:26">
      <c r="A742" s="40"/>
      <c r="B742" s="47"/>
      <c r="C742" s="47"/>
      <c r="D742" s="47"/>
      <c r="E742" s="47"/>
      <c r="F742" s="47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3.1" spans="1:26">
      <c r="A743" s="40"/>
      <c r="B743" s="47"/>
      <c r="C743" s="47"/>
      <c r="D743" s="47"/>
      <c r="E743" s="47"/>
      <c r="F743" s="47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3.1" spans="1:26">
      <c r="A744" s="40"/>
      <c r="B744" s="47"/>
      <c r="C744" s="47"/>
      <c r="D744" s="47"/>
      <c r="E744" s="47"/>
      <c r="F744" s="47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3.1" spans="1:26">
      <c r="A745" s="40"/>
      <c r="B745" s="47"/>
      <c r="C745" s="47"/>
      <c r="D745" s="47"/>
      <c r="E745" s="47"/>
      <c r="F745" s="47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3.1" spans="1:26">
      <c r="A746" s="40"/>
      <c r="B746" s="47"/>
      <c r="C746" s="47"/>
      <c r="D746" s="47"/>
      <c r="E746" s="47"/>
      <c r="F746" s="47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3.1" spans="1:26">
      <c r="A747" s="40"/>
      <c r="B747" s="47"/>
      <c r="C747" s="47"/>
      <c r="D747" s="47"/>
      <c r="E747" s="47"/>
      <c r="F747" s="47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3.1" spans="1:26">
      <c r="A748" s="40"/>
      <c r="B748" s="47"/>
      <c r="C748" s="47"/>
      <c r="D748" s="47"/>
      <c r="E748" s="47"/>
      <c r="F748" s="47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3.1" spans="1:26">
      <c r="A749" s="40"/>
      <c r="B749" s="47"/>
      <c r="C749" s="47"/>
      <c r="D749" s="47"/>
      <c r="E749" s="47"/>
      <c r="F749" s="47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3.1" spans="1:26">
      <c r="A750" s="40"/>
      <c r="B750" s="47"/>
      <c r="C750" s="47"/>
      <c r="D750" s="47"/>
      <c r="E750" s="47"/>
      <c r="F750" s="47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3.1" spans="1:26">
      <c r="A751" s="40"/>
      <c r="B751" s="47"/>
      <c r="C751" s="47"/>
      <c r="D751" s="47"/>
      <c r="E751" s="47"/>
      <c r="F751" s="47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3.1" spans="1:26">
      <c r="A752" s="40"/>
      <c r="B752" s="47"/>
      <c r="C752" s="47"/>
      <c r="D752" s="47"/>
      <c r="E752" s="47"/>
      <c r="F752" s="47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3.1" spans="1:26">
      <c r="A753" s="40"/>
      <c r="B753" s="47"/>
      <c r="C753" s="47"/>
      <c r="D753" s="47"/>
      <c r="E753" s="47"/>
      <c r="F753" s="47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3.1" spans="1:26">
      <c r="A754" s="40"/>
      <c r="B754" s="47"/>
      <c r="C754" s="47"/>
      <c r="D754" s="47"/>
      <c r="E754" s="47"/>
      <c r="F754" s="47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3.1" spans="1:26">
      <c r="A755" s="40"/>
      <c r="B755" s="47"/>
      <c r="C755" s="47"/>
      <c r="D755" s="47"/>
      <c r="E755" s="47"/>
      <c r="F755" s="47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3.1" spans="1:26">
      <c r="A756" s="40"/>
      <c r="B756" s="47"/>
      <c r="C756" s="47"/>
      <c r="D756" s="47"/>
      <c r="E756" s="47"/>
      <c r="F756" s="47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3.1" spans="1:26">
      <c r="A757" s="40"/>
      <c r="B757" s="47"/>
      <c r="C757" s="47"/>
      <c r="D757" s="47"/>
      <c r="E757" s="47"/>
      <c r="F757" s="47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3.1" spans="1:26">
      <c r="A758" s="40"/>
      <c r="B758" s="47"/>
      <c r="C758" s="47"/>
      <c r="D758" s="47"/>
      <c r="E758" s="47"/>
      <c r="F758" s="47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3.1" spans="1:26">
      <c r="A759" s="40"/>
      <c r="B759" s="47"/>
      <c r="C759" s="47"/>
      <c r="D759" s="47"/>
      <c r="E759" s="47"/>
      <c r="F759" s="47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3.1" spans="1:26">
      <c r="A760" s="40"/>
      <c r="B760" s="47"/>
      <c r="C760" s="47"/>
      <c r="D760" s="47"/>
      <c r="E760" s="47"/>
      <c r="F760" s="47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3.1" spans="1:26">
      <c r="A761" s="40"/>
      <c r="B761" s="47"/>
      <c r="C761" s="47"/>
      <c r="D761" s="47"/>
      <c r="E761" s="47"/>
      <c r="F761" s="47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3.1" spans="1:26">
      <c r="A762" s="40"/>
      <c r="B762" s="47"/>
      <c r="C762" s="47"/>
      <c r="D762" s="47"/>
      <c r="E762" s="47"/>
      <c r="F762" s="47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3.1" spans="1:26">
      <c r="A763" s="40"/>
      <c r="B763" s="47"/>
      <c r="C763" s="47"/>
      <c r="D763" s="47"/>
      <c r="E763" s="47"/>
      <c r="F763" s="47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3.1" spans="1:26">
      <c r="A764" s="40"/>
      <c r="B764" s="47"/>
      <c r="C764" s="47"/>
      <c r="D764" s="47"/>
      <c r="E764" s="47"/>
      <c r="F764" s="47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3.1" spans="1:26">
      <c r="A765" s="40"/>
      <c r="B765" s="47"/>
      <c r="C765" s="47"/>
      <c r="D765" s="47"/>
      <c r="E765" s="47"/>
      <c r="F765" s="47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3.1" spans="1:26">
      <c r="A766" s="40"/>
      <c r="B766" s="47"/>
      <c r="C766" s="47"/>
      <c r="D766" s="47"/>
      <c r="E766" s="47"/>
      <c r="F766" s="47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3.1" spans="1:26">
      <c r="A767" s="40"/>
      <c r="B767" s="47"/>
      <c r="C767" s="47"/>
      <c r="D767" s="47"/>
      <c r="E767" s="47"/>
      <c r="F767" s="47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3.1" spans="1:26">
      <c r="A768" s="40"/>
      <c r="B768" s="47"/>
      <c r="C768" s="47"/>
      <c r="D768" s="47"/>
      <c r="E768" s="47"/>
      <c r="F768" s="47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3.1" spans="1:26">
      <c r="A769" s="40"/>
      <c r="B769" s="47"/>
      <c r="C769" s="47"/>
      <c r="D769" s="47"/>
      <c r="E769" s="47"/>
      <c r="F769" s="47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3.1" spans="1:26">
      <c r="A770" s="40"/>
      <c r="B770" s="47"/>
      <c r="C770" s="47"/>
      <c r="D770" s="47"/>
      <c r="E770" s="47"/>
      <c r="F770" s="47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3.1" spans="1:26">
      <c r="A771" s="40"/>
      <c r="B771" s="47"/>
      <c r="C771" s="47"/>
      <c r="D771" s="47"/>
      <c r="E771" s="47"/>
      <c r="F771" s="47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3.1" spans="1:26">
      <c r="A772" s="40"/>
      <c r="B772" s="47"/>
      <c r="C772" s="47"/>
      <c r="D772" s="47"/>
      <c r="E772" s="47"/>
      <c r="F772" s="47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3.1" spans="1:26">
      <c r="A773" s="40"/>
      <c r="B773" s="47"/>
      <c r="C773" s="47"/>
      <c r="D773" s="47"/>
      <c r="E773" s="47"/>
      <c r="F773" s="47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3.1" spans="1:26">
      <c r="A774" s="40"/>
      <c r="B774" s="47"/>
      <c r="C774" s="47"/>
      <c r="D774" s="47"/>
      <c r="E774" s="47"/>
      <c r="F774" s="47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3.1" spans="1:26">
      <c r="A775" s="40"/>
      <c r="B775" s="47"/>
      <c r="C775" s="47"/>
      <c r="D775" s="47"/>
      <c r="E775" s="47"/>
      <c r="F775" s="47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3.1" spans="1:26">
      <c r="A776" s="40"/>
      <c r="B776" s="47"/>
      <c r="C776" s="47"/>
      <c r="D776" s="47"/>
      <c r="E776" s="47"/>
      <c r="F776" s="47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3.1" spans="1:26">
      <c r="A777" s="40"/>
      <c r="B777" s="47"/>
      <c r="C777" s="47"/>
      <c r="D777" s="47"/>
      <c r="E777" s="47"/>
      <c r="F777" s="47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3.1" spans="1:26">
      <c r="A778" s="40"/>
      <c r="B778" s="47"/>
      <c r="C778" s="47"/>
      <c r="D778" s="47"/>
      <c r="E778" s="47"/>
      <c r="F778" s="47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3.1" spans="1:26">
      <c r="A779" s="40"/>
      <c r="B779" s="47"/>
      <c r="C779" s="47"/>
      <c r="D779" s="47"/>
      <c r="E779" s="47"/>
      <c r="F779" s="47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3.1" spans="1:26">
      <c r="A780" s="40"/>
      <c r="B780" s="47"/>
      <c r="C780" s="47"/>
      <c r="D780" s="47"/>
      <c r="E780" s="47"/>
      <c r="F780" s="47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3.1" spans="1:26">
      <c r="A781" s="40"/>
      <c r="B781" s="47"/>
      <c r="C781" s="47"/>
      <c r="D781" s="47"/>
      <c r="E781" s="47"/>
      <c r="F781" s="47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3.1" spans="1:26">
      <c r="A782" s="40"/>
      <c r="B782" s="47"/>
      <c r="C782" s="47"/>
      <c r="D782" s="47"/>
      <c r="E782" s="47"/>
      <c r="F782" s="47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3.1" spans="1:26">
      <c r="A783" s="40"/>
      <c r="B783" s="47"/>
      <c r="C783" s="47"/>
      <c r="D783" s="47"/>
      <c r="E783" s="47"/>
      <c r="F783" s="47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3.1" spans="1:26">
      <c r="A784" s="40"/>
      <c r="B784" s="47"/>
      <c r="C784" s="47"/>
      <c r="D784" s="47"/>
      <c r="E784" s="47"/>
      <c r="F784" s="47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3.1" spans="1:26">
      <c r="A785" s="40"/>
      <c r="B785" s="47"/>
      <c r="C785" s="47"/>
      <c r="D785" s="47"/>
      <c r="E785" s="47"/>
      <c r="F785" s="47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3.1" spans="1:26">
      <c r="A786" s="40"/>
      <c r="B786" s="47"/>
      <c r="C786" s="47"/>
      <c r="D786" s="47"/>
      <c r="E786" s="47"/>
      <c r="F786" s="47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3.1" spans="1:26">
      <c r="A787" s="40"/>
      <c r="B787" s="47"/>
      <c r="C787" s="47"/>
      <c r="D787" s="47"/>
      <c r="E787" s="47"/>
      <c r="F787" s="47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3.1" spans="1:26">
      <c r="A788" s="40"/>
      <c r="B788" s="47"/>
      <c r="C788" s="47"/>
      <c r="D788" s="47"/>
      <c r="E788" s="47"/>
      <c r="F788" s="47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3.1" spans="1:26">
      <c r="A789" s="40"/>
      <c r="B789" s="47"/>
      <c r="C789" s="47"/>
      <c r="D789" s="47"/>
      <c r="E789" s="47"/>
      <c r="F789" s="47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3.1" spans="1:26">
      <c r="A790" s="40"/>
      <c r="B790" s="47"/>
      <c r="C790" s="47"/>
      <c r="D790" s="47"/>
      <c r="E790" s="47"/>
      <c r="F790" s="47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3.1" spans="1:26">
      <c r="A791" s="40"/>
      <c r="B791" s="47"/>
      <c r="C791" s="47"/>
      <c r="D791" s="47"/>
      <c r="E791" s="47"/>
      <c r="F791" s="47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3.1" spans="1:26">
      <c r="A792" s="40"/>
      <c r="B792" s="47"/>
      <c r="C792" s="47"/>
      <c r="D792" s="47"/>
      <c r="E792" s="47"/>
      <c r="F792" s="47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3.1" spans="1:26">
      <c r="A793" s="40"/>
      <c r="B793" s="47"/>
      <c r="C793" s="47"/>
      <c r="D793" s="47"/>
      <c r="E793" s="47"/>
      <c r="F793" s="47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3.1" spans="1:26">
      <c r="A794" s="40"/>
      <c r="B794" s="47"/>
      <c r="C794" s="47"/>
      <c r="D794" s="47"/>
      <c r="E794" s="47"/>
      <c r="F794" s="47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3.1" spans="1:26">
      <c r="A795" s="40"/>
      <c r="B795" s="47"/>
      <c r="C795" s="47"/>
      <c r="D795" s="47"/>
      <c r="E795" s="47"/>
      <c r="F795" s="47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3.1" spans="1:26">
      <c r="A796" s="40"/>
      <c r="B796" s="47"/>
      <c r="C796" s="47"/>
      <c r="D796" s="47"/>
      <c r="E796" s="47"/>
      <c r="F796" s="47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3.1" spans="1:26">
      <c r="A797" s="40"/>
      <c r="B797" s="47"/>
      <c r="C797" s="47"/>
      <c r="D797" s="47"/>
      <c r="E797" s="47"/>
      <c r="F797" s="47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3.1" spans="1:26">
      <c r="A798" s="40"/>
      <c r="B798" s="47"/>
      <c r="C798" s="47"/>
      <c r="D798" s="47"/>
      <c r="E798" s="47"/>
      <c r="F798" s="47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3.1" spans="1:26">
      <c r="A799" s="40"/>
      <c r="B799" s="47"/>
      <c r="C799" s="47"/>
      <c r="D799" s="47"/>
      <c r="E799" s="47"/>
      <c r="F799" s="47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3.1" spans="1:26">
      <c r="A800" s="40"/>
      <c r="B800" s="47"/>
      <c r="C800" s="47"/>
      <c r="D800" s="47"/>
      <c r="E800" s="47"/>
      <c r="F800" s="47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3.1" spans="1:26">
      <c r="A801" s="40"/>
      <c r="B801" s="47"/>
      <c r="C801" s="47"/>
      <c r="D801" s="47"/>
      <c r="E801" s="47"/>
      <c r="F801" s="47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3.1" spans="1:26">
      <c r="A802" s="40"/>
      <c r="B802" s="47"/>
      <c r="C802" s="47"/>
      <c r="D802" s="47"/>
      <c r="E802" s="47"/>
      <c r="F802" s="47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3.1" spans="1:26">
      <c r="A803" s="40"/>
      <c r="B803" s="47"/>
      <c r="C803" s="47"/>
      <c r="D803" s="47"/>
      <c r="E803" s="47"/>
      <c r="F803" s="47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3.1" spans="1:26">
      <c r="A804" s="40"/>
      <c r="B804" s="47"/>
      <c r="C804" s="47"/>
      <c r="D804" s="47"/>
      <c r="E804" s="47"/>
      <c r="F804" s="47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3.1" spans="1:26">
      <c r="A805" s="40"/>
      <c r="B805" s="47"/>
      <c r="C805" s="47"/>
      <c r="D805" s="47"/>
      <c r="E805" s="47"/>
      <c r="F805" s="47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3.1" spans="1:26">
      <c r="A806" s="40"/>
      <c r="B806" s="47"/>
      <c r="C806" s="47"/>
      <c r="D806" s="47"/>
      <c r="E806" s="47"/>
      <c r="F806" s="47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3.1" spans="1:26">
      <c r="A807" s="40"/>
      <c r="B807" s="47"/>
      <c r="C807" s="47"/>
      <c r="D807" s="47"/>
      <c r="E807" s="47"/>
      <c r="F807" s="47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3.1" spans="1:26">
      <c r="A808" s="40"/>
      <c r="B808" s="47"/>
      <c r="C808" s="47"/>
      <c r="D808" s="47"/>
      <c r="E808" s="47"/>
      <c r="F808" s="47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3.1" spans="1:26">
      <c r="A809" s="40"/>
      <c r="B809" s="47"/>
      <c r="C809" s="47"/>
      <c r="D809" s="47"/>
      <c r="E809" s="47"/>
      <c r="F809" s="47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3.1" spans="1:26">
      <c r="A810" s="40"/>
      <c r="B810" s="47"/>
      <c r="C810" s="47"/>
      <c r="D810" s="47"/>
      <c r="E810" s="47"/>
      <c r="F810" s="47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3.1" spans="1:26">
      <c r="A811" s="40"/>
      <c r="B811" s="47"/>
      <c r="C811" s="47"/>
      <c r="D811" s="47"/>
      <c r="E811" s="47"/>
      <c r="F811" s="47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3.1" spans="1:26">
      <c r="A812" s="40"/>
      <c r="B812" s="47"/>
      <c r="C812" s="47"/>
      <c r="D812" s="47"/>
      <c r="E812" s="47"/>
      <c r="F812" s="47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3.1" spans="1:26">
      <c r="A813" s="40"/>
      <c r="B813" s="47"/>
      <c r="C813" s="47"/>
      <c r="D813" s="47"/>
      <c r="E813" s="47"/>
      <c r="F813" s="47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3.1" spans="1:26">
      <c r="A814" s="40"/>
      <c r="B814" s="47"/>
      <c r="C814" s="47"/>
      <c r="D814" s="47"/>
      <c r="E814" s="47"/>
      <c r="F814" s="47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3.1" spans="1:26">
      <c r="A815" s="40"/>
      <c r="B815" s="47"/>
      <c r="C815" s="47"/>
      <c r="D815" s="47"/>
      <c r="E815" s="47"/>
      <c r="F815" s="47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3.1" spans="1:26">
      <c r="A816" s="40"/>
      <c r="B816" s="47"/>
      <c r="C816" s="47"/>
      <c r="D816" s="47"/>
      <c r="E816" s="47"/>
      <c r="F816" s="47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3.1" spans="1:26">
      <c r="A817" s="40"/>
      <c r="B817" s="47"/>
      <c r="C817" s="47"/>
      <c r="D817" s="47"/>
      <c r="E817" s="47"/>
      <c r="F817" s="47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3.1" spans="1:26">
      <c r="A818" s="40"/>
      <c r="B818" s="47"/>
      <c r="C818" s="47"/>
      <c r="D818" s="47"/>
      <c r="E818" s="47"/>
      <c r="F818" s="47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3.1" spans="1:26">
      <c r="A819" s="40"/>
      <c r="B819" s="47"/>
      <c r="C819" s="47"/>
      <c r="D819" s="47"/>
      <c r="E819" s="47"/>
      <c r="F819" s="47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3.1" spans="1:26">
      <c r="A820" s="40"/>
      <c r="B820" s="47"/>
      <c r="C820" s="47"/>
      <c r="D820" s="47"/>
      <c r="E820" s="47"/>
      <c r="F820" s="47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3.1" spans="1:26">
      <c r="A821" s="40"/>
      <c r="B821" s="47"/>
      <c r="C821" s="47"/>
      <c r="D821" s="47"/>
      <c r="E821" s="47"/>
      <c r="F821" s="47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3.1" spans="1:26">
      <c r="A822" s="40"/>
      <c r="B822" s="47"/>
      <c r="C822" s="47"/>
      <c r="D822" s="47"/>
      <c r="E822" s="47"/>
      <c r="F822" s="47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3.1" spans="1:26">
      <c r="A823" s="40"/>
      <c r="B823" s="47"/>
      <c r="C823" s="47"/>
      <c r="D823" s="47"/>
      <c r="E823" s="47"/>
      <c r="F823" s="47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3.1" spans="1:26">
      <c r="A824" s="40"/>
      <c r="B824" s="47"/>
      <c r="C824" s="47"/>
      <c r="D824" s="47"/>
      <c r="E824" s="47"/>
      <c r="F824" s="47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3.1" spans="1:26">
      <c r="A825" s="40"/>
      <c r="B825" s="47"/>
      <c r="C825" s="47"/>
      <c r="D825" s="47"/>
      <c r="E825" s="47"/>
      <c r="F825" s="47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3.1" spans="1:26">
      <c r="A826" s="40"/>
      <c r="B826" s="47"/>
      <c r="C826" s="47"/>
      <c r="D826" s="47"/>
      <c r="E826" s="47"/>
      <c r="F826" s="47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3.1" spans="1:26">
      <c r="A827" s="40"/>
      <c r="B827" s="47"/>
      <c r="C827" s="47"/>
      <c r="D827" s="47"/>
      <c r="E827" s="47"/>
      <c r="F827" s="47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3.1" spans="1:26">
      <c r="A828" s="40"/>
      <c r="B828" s="47"/>
      <c r="C828" s="47"/>
      <c r="D828" s="47"/>
      <c r="E828" s="47"/>
      <c r="F828" s="47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3.1" spans="1:26">
      <c r="A829" s="40"/>
      <c r="B829" s="47"/>
      <c r="C829" s="47"/>
      <c r="D829" s="47"/>
      <c r="E829" s="47"/>
      <c r="F829" s="47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3.1" spans="1:26">
      <c r="A830" s="40"/>
      <c r="B830" s="47"/>
      <c r="C830" s="47"/>
      <c r="D830" s="47"/>
      <c r="E830" s="47"/>
      <c r="F830" s="47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3.1" spans="1:26">
      <c r="A831" s="40"/>
      <c r="B831" s="47"/>
      <c r="C831" s="47"/>
      <c r="D831" s="47"/>
      <c r="E831" s="47"/>
      <c r="F831" s="47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3.1" spans="1:26">
      <c r="A832" s="40"/>
      <c r="B832" s="47"/>
      <c r="C832" s="47"/>
      <c r="D832" s="47"/>
      <c r="E832" s="47"/>
      <c r="F832" s="47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3.1" spans="1:26">
      <c r="A833" s="40"/>
      <c r="B833" s="47"/>
      <c r="C833" s="47"/>
      <c r="D833" s="47"/>
      <c r="E833" s="47"/>
      <c r="F833" s="47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3.1" spans="1:26">
      <c r="A834" s="40"/>
      <c r="B834" s="47"/>
      <c r="C834" s="47"/>
      <c r="D834" s="47"/>
      <c r="E834" s="47"/>
      <c r="F834" s="47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3.1" spans="1:26">
      <c r="A835" s="40"/>
      <c r="B835" s="47"/>
      <c r="C835" s="47"/>
      <c r="D835" s="47"/>
      <c r="E835" s="47"/>
      <c r="F835" s="47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3.1" spans="1:26">
      <c r="A836" s="40"/>
      <c r="B836" s="47"/>
      <c r="C836" s="47"/>
      <c r="D836" s="47"/>
      <c r="E836" s="47"/>
      <c r="F836" s="47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3.1" spans="1:26">
      <c r="A837" s="40"/>
      <c r="B837" s="47"/>
      <c r="C837" s="47"/>
      <c r="D837" s="47"/>
      <c r="E837" s="47"/>
      <c r="F837" s="47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3.1" spans="1:26">
      <c r="A838" s="40"/>
      <c r="B838" s="47"/>
      <c r="C838" s="47"/>
      <c r="D838" s="47"/>
      <c r="E838" s="47"/>
      <c r="F838" s="47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3.1" spans="1:26">
      <c r="A839" s="40"/>
      <c r="B839" s="47"/>
      <c r="C839" s="47"/>
      <c r="D839" s="47"/>
      <c r="E839" s="47"/>
      <c r="F839" s="47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3.1" spans="1:26">
      <c r="A840" s="40"/>
      <c r="B840" s="47"/>
      <c r="C840" s="47"/>
      <c r="D840" s="47"/>
      <c r="E840" s="47"/>
      <c r="F840" s="47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3.1" spans="1:26">
      <c r="A841" s="40"/>
      <c r="B841" s="47"/>
      <c r="C841" s="47"/>
      <c r="D841" s="47"/>
      <c r="E841" s="47"/>
      <c r="F841" s="47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3.1" spans="1:26">
      <c r="A842" s="40"/>
      <c r="B842" s="47"/>
      <c r="C842" s="47"/>
      <c r="D842" s="47"/>
      <c r="E842" s="47"/>
      <c r="F842" s="47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3.1" spans="1:26">
      <c r="A843" s="40"/>
      <c r="B843" s="47"/>
      <c r="C843" s="47"/>
      <c r="D843" s="47"/>
      <c r="E843" s="47"/>
      <c r="F843" s="47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3.1" spans="1:26">
      <c r="A844" s="40"/>
      <c r="B844" s="47"/>
      <c r="C844" s="47"/>
      <c r="D844" s="47"/>
      <c r="E844" s="47"/>
      <c r="F844" s="47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3.1" spans="1:26">
      <c r="A845" s="40"/>
      <c r="B845" s="47"/>
      <c r="C845" s="47"/>
      <c r="D845" s="47"/>
      <c r="E845" s="47"/>
      <c r="F845" s="47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3.1" spans="1:26">
      <c r="A846" s="40"/>
      <c r="B846" s="47"/>
      <c r="C846" s="47"/>
      <c r="D846" s="47"/>
      <c r="E846" s="47"/>
      <c r="F846" s="47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3.1" spans="1:26">
      <c r="A847" s="40"/>
      <c r="B847" s="47"/>
      <c r="C847" s="47"/>
      <c r="D847" s="47"/>
      <c r="E847" s="47"/>
      <c r="F847" s="47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3.1" spans="1:26">
      <c r="A848" s="40"/>
      <c r="B848" s="47"/>
      <c r="C848" s="47"/>
      <c r="D848" s="47"/>
      <c r="E848" s="47"/>
      <c r="F848" s="47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3.1" spans="1:26">
      <c r="A849" s="40"/>
      <c r="B849" s="47"/>
      <c r="C849" s="47"/>
      <c r="D849" s="47"/>
      <c r="E849" s="47"/>
      <c r="F849" s="47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3.1" spans="1:26">
      <c r="A850" s="40"/>
      <c r="B850" s="47"/>
      <c r="C850" s="47"/>
      <c r="D850" s="47"/>
      <c r="E850" s="47"/>
      <c r="F850" s="47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3.1" spans="1:26">
      <c r="A851" s="40"/>
      <c r="B851" s="47"/>
      <c r="C851" s="47"/>
      <c r="D851" s="47"/>
      <c r="E851" s="47"/>
      <c r="F851" s="47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3.1" spans="1:26">
      <c r="A852" s="40"/>
      <c r="B852" s="47"/>
      <c r="C852" s="47"/>
      <c r="D852" s="47"/>
      <c r="E852" s="47"/>
      <c r="F852" s="47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3.1" spans="1:26">
      <c r="A853" s="40"/>
      <c r="B853" s="47"/>
      <c r="C853" s="47"/>
      <c r="D853" s="47"/>
      <c r="E853" s="47"/>
      <c r="F853" s="47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3.1" spans="1:26">
      <c r="A854" s="40"/>
      <c r="B854" s="47"/>
      <c r="C854" s="47"/>
      <c r="D854" s="47"/>
      <c r="E854" s="47"/>
      <c r="F854" s="47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3.1" spans="1:26">
      <c r="A855" s="40"/>
      <c r="B855" s="47"/>
      <c r="C855" s="47"/>
      <c r="D855" s="47"/>
      <c r="E855" s="47"/>
      <c r="F855" s="47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3.1" spans="1:26">
      <c r="A856" s="40"/>
      <c r="B856" s="47"/>
      <c r="C856" s="47"/>
      <c r="D856" s="47"/>
      <c r="E856" s="47"/>
      <c r="F856" s="47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3.1" spans="1:26">
      <c r="A857" s="40"/>
      <c r="B857" s="47"/>
      <c r="C857" s="47"/>
      <c r="D857" s="47"/>
      <c r="E857" s="47"/>
      <c r="F857" s="47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3.1" spans="1:26">
      <c r="A858" s="40"/>
      <c r="B858" s="47"/>
      <c r="C858" s="47"/>
      <c r="D858" s="47"/>
      <c r="E858" s="47"/>
      <c r="F858" s="47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3.1" spans="1:26">
      <c r="A859" s="40"/>
      <c r="B859" s="47"/>
      <c r="C859" s="47"/>
      <c r="D859" s="47"/>
      <c r="E859" s="47"/>
      <c r="F859" s="47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3.1" spans="1:26">
      <c r="A860" s="40"/>
      <c r="B860" s="47"/>
      <c r="C860" s="47"/>
      <c r="D860" s="47"/>
      <c r="E860" s="47"/>
      <c r="F860" s="47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3.1" spans="1:26">
      <c r="A861" s="40"/>
      <c r="B861" s="47"/>
      <c r="C861" s="47"/>
      <c r="D861" s="47"/>
      <c r="E861" s="47"/>
      <c r="F861" s="47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3.1" spans="1:26">
      <c r="A862" s="40"/>
      <c r="B862" s="47"/>
      <c r="C862" s="47"/>
      <c r="D862" s="47"/>
      <c r="E862" s="47"/>
      <c r="F862" s="47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3.1" spans="1:26">
      <c r="A863" s="40"/>
      <c r="B863" s="47"/>
      <c r="C863" s="47"/>
      <c r="D863" s="47"/>
      <c r="E863" s="47"/>
      <c r="F863" s="47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3.1" spans="1:26">
      <c r="A864" s="40"/>
      <c r="B864" s="47"/>
      <c r="C864" s="47"/>
      <c r="D864" s="47"/>
      <c r="E864" s="47"/>
      <c r="F864" s="47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3.1" spans="1:26">
      <c r="A865" s="40"/>
      <c r="B865" s="47"/>
      <c r="C865" s="47"/>
      <c r="D865" s="47"/>
      <c r="E865" s="47"/>
      <c r="F865" s="47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3.1" spans="1:26">
      <c r="A866" s="40"/>
      <c r="B866" s="47"/>
      <c r="C866" s="47"/>
      <c r="D866" s="47"/>
      <c r="E866" s="47"/>
      <c r="F866" s="47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3.1" spans="1:26">
      <c r="A867" s="40"/>
      <c r="B867" s="47"/>
      <c r="C867" s="47"/>
      <c r="D867" s="47"/>
      <c r="E867" s="47"/>
      <c r="F867" s="47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3.1" spans="1:26">
      <c r="A868" s="40"/>
      <c r="B868" s="47"/>
      <c r="C868" s="47"/>
      <c r="D868" s="47"/>
      <c r="E868" s="47"/>
      <c r="F868" s="47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3.1" spans="1:26">
      <c r="A869" s="40"/>
      <c r="B869" s="47"/>
      <c r="C869" s="47"/>
      <c r="D869" s="47"/>
      <c r="E869" s="47"/>
      <c r="F869" s="47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3.1" spans="1:26">
      <c r="A870" s="40"/>
      <c r="B870" s="47"/>
      <c r="C870" s="47"/>
      <c r="D870" s="47"/>
      <c r="E870" s="47"/>
      <c r="F870" s="47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3.1" spans="1:26">
      <c r="A871" s="40"/>
      <c r="B871" s="47"/>
      <c r="C871" s="47"/>
      <c r="D871" s="47"/>
      <c r="E871" s="47"/>
      <c r="F871" s="47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3.1" spans="1:26">
      <c r="A872" s="40"/>
      <c r="B872" s="47"/>
      <c r="C872" s="47"/>
      <c r="D872" s="47"/>
      <c r="E872" s="47"/>
      <c r="F872" s="47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3.1" spans="1:26">
      <c r="A873" s="40"/>
      <c r="B873" s="47"/>
      <c r="C873" s="47"/>
      <c r="D873" s="47"/>
      <c r="E873" s="47"/>
      <c r="F873" s="47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3.1" spans="1:26">
      <c r="A874" s="40"/>
      <c r="B874" s="47"/>
      <c r="C874" s="47"/>
      <c r="D874" s="47"/>
      <c r="E874" s="47"/>
      <c r="F874" s="47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3.1" spans="1:26">
      <c r="A875" s="40"/>
      <c r="B875" s="47"/>
      <c r="C875" s="47"/>
      <c r="D875" s="47"/>
      <c r="E875" s="47"/>
      <c r="F875" s="47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3.1" spans="1:26">
      <c r="A876" s="40"/>
      <c r="B876" s="47"/>
      <c r="C876" s="47"/>
      <c r="D876" s="47"/>
      <c r="E876" s="47"/>
      <c r="F876" s="47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3.1" spans="1:26">
      <c r="A877" s="40"/>
      <c r="B877" s="47"/>
      <c r="C877" s="47"/>
      <c r="D877" s="47"/>
      <c r="E877" s="47"/>
      <c r="F877" s="47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3.1" spans="1:26">
      <c r="A878" s="40"/>
      <c r="B878" s="47"/>
      <c r="C878" s="47"/>
      <c r="D878" s="47"/>
      <c r="E878" s="47"/>
      <c r="F878" s="47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3.1" spans="1:26">
      <c r="A879" s="40"/>
      <c r="B879" s="47"/>
      <c r="C879" s="47"/>
      <c r="D879" s="47"/>
      <c r="E879" s="47"/>
      <c r="F879" s="47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3.1" spans="1:26">
      <c r="A880" s="40"/>
      <c r="B880" s="47"/>
      <c r="C880" s="47"/>
      <c r="D880" s="47"/>
      <c r="E880" s="47"/>
      <c r="F880" s="47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3.1" spans="1:26">
      <c r="A881" s="40"/>
      <c r="B881" s="47"/>
      <c r="C881" s="47"/>
      <c r="D881" s="47"/>
      <c r="E881" s="47"/>
      <c r="F881" s="47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3.1" spans="1:26">
      <c r="A882" s="40"/>
      <c r="B882" s="47"/>
      <c r="C882" s="47"/>
      <c r="D882" s="47"/>
      <c r="E882" s="47"/>
      <c r="F882" s="47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3.1" spans="1:26">
      <c r="A883" s="40"/>
      <c r="B883" s="47"/>
      <c r="C883" s="47"/>
      <c r="D883" s="47"/>
      <c r="E883" s="47"/>
      <c r="F883" s="47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3.1" spans="1:26">
      <c r="A884" s="40"/>
      <c r="B884" s="47"/>
      <c r="C884" s="47"/>
      <c r="D884" s="47"/>
      <c r="E884" s="47"/>
      <c r="F884" s="47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3.1" spans="1:26">
      <c r="A885" s="40"/>
      <c r="B885" s="47"/>
      <c r="C885" s="47"/>
      <c r="D885" s="47"/>
      <c r="E885" s="47"/>
      <c r="F885" s="47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3.1" spans="1:26">
      <c r="A886" s="40"/>
      <c r="B886" s="47"/>
      <c r="C886" s="47"/>
      <c r="D886" s="47"/>
      <c r="E886" s="47"/>
      <c r="F886" s="47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3.1" spans="1:26">
      <c r="A887" s="40"/>
      <c r="B887" s="47"/>
      <c r="C887" s="47"/>
      <c r="D887" s="47"/>
      <c r="E887" s="47"/>
      <c r="F887" s="47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3.1" spans="1:26">
      <c r="A888" s="40"/>
      <c r="B888" s="47"/>
      <c r="C888" s="47"/>
      <c r="D888" s="47"/>
      <c r="E888" s="47"/>
      <c r="F888" s="47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3.1" spans="1:26">
      <c r="A889" s="40"/>
      <c r="B889" s="47"/>
      <c r="C889" s="47"/>
      <c r="D889" s="47"/>
      <c r="E889" s="47"/>
      <c r="F889" s="47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3.1" spans="1:26">
      <c r="A890" s="40"/>
      <c r="B890" s="47"/>
      <c r="C890" s="47"/>
      <c r="D890" s="47"/>
      <c r="E890" s="47"/>
      <c r="F890" s="47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3.1" spans="1:26">
      <c r="A891" s="40"/>
      <c r="B891" s="47"/>
      <c r="C891" s="47"/>
      <c r="D891" s="47"/>
      <c r="E891" s="47"/>
      <c r="F891" s="47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3.1" spans="1:26">
      <c r="A892" s="40"/>
      <c r="B892" s="47"/>
      <c r="C892" s="47"/>
      <c r="D892" s="47"/>
      <c r="E892" s="47"/>
      <c r="F892" s="47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3.1" spans="1:26">
      <c r="A893" s="40"/>
      <c r="B893" s="47"/>
      <c r="C893" s="47"/>
      <c r="D893" s="47"/>
      <c r="E893" s="47"/>
      <c r="F893" s="47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3.1" spans="1:26">
      <c r="A894" s="40"/>
      <c r="B894" s="47"/>
      <c r="C894" s="47"/>
      <c r="D894" s="47"/>
      <c r="E894" s="47"/>
      <c r="F894" s="47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3.1" spans="1:26">
      <c r="A895" s="40"/>
      <c r="B895" s="47"/>
      <c r="C895" s="47"/>
      <c r="D895" s="47"/>
      <c r="E895" s="47"/>
      <c r="F895" s="47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3.1" spans="1:26">
      <c r="A896" s="40"/>
      <c r="B896" s="47"/>
      <c r="C896" s="47"/>
      <c r="D896" s="47"/>
      <c r="E896" s="47"/>
      <c r="F896" s="47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3.1" spans="1:26">
      <c r="A897" s="40"/>
      <c r="B897" s="47"/>
      <c r="C897" s="47"/>
      <c r="D897" s="47"/>
      <c r="E897" s="47"/>
      <c r="F897" s="47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3.1" spans="1:26">
      <c r="A898" s="40"/>
      <c r="B898" s="47"/>
      <c r="C898" s="47"/>
      <c r="D898" s="47"/>
      <c r="E898" s="47"/>
      <c r="F898" s="47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3.1" spans="1:26">
      <c r="A899" s="40"/>
      <c r="B899" s="47"/>
      <c r="C899" s="47"/>
      <c r="D899" s="47"/>
      <c r="E899" s="47"/>
      <c r="F899" s="47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3.1" spans="1:26">
      <c r="A900" s="40"/>
      <c r="B900" s="47"/>
      <c r="C900" s="47"/>
      <c r="D900" s="47"/>
      <c r="E900" s="47"/>
      <c r="F900" s="47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3.1" spans="1:26">
      <c r="A901" s="40"/>
      <c r="B901" s="47"/>
      <c r="C901" s="47"/>
      <c r="D901" s="47"/>
      <c r="E901" s="47"/>
      <c r="F901" s="47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3.1" spans="1:26">
      <c r="A902" s="40"/>
      <c r="B902" s="47"/>
      <c r="C902" s="47"/>
      <c r="D902" s="47"/>
      <c r="E902" s="47"/>
      <c r="F902" s="47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3.1" spans="1:26">
      <c r="A903" s="40"/>
      <c r="B903" s="47"/>
      <c r="C903" s="47"/>
      <c r="D903" s="47"/>
      <c r="E903" s="47"/>
      <c r="F903" s="47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3.1" spans="1:26">
      <c r="A904" s="40"/>
      <c r="B904" s="47"/>
      <c r="C904" s="47"/>
      <c r="D904" s="47"/>
      <c r="E904" s="47"/>
      <c r="F904" s="47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3.1" spans="1:26">
      <c r="A905" s="40"/>
      <c r="B905" s="47"/>
      <c r="C905" s="47"/>
      <c r="D905" s="47"/>
      <c r="E905" s="47"/>
      <c r="F905" s="47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3.1" spans="1:26">
      <c r="A906" s="40"/>
      <c r="B906" s="47"/>
      <c r="C906" s="47"/>
      <c r="D906" s="47"/>
      <c r="E906" s="47"/>
      <c r="F906" s="47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3.1" spans="1:26">
      <c r="A907" s="40"/>
      <c r="B907" s="47"/>
      <c r="C907" s="47"/>
      <c r="D907" s="47"/>
      <c r="E907" s="47"/>
      <c r="F907" s="47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3.1" spans="1:26">
      <c r="A908" s="40"/>
      <c r="B908" s="47"/>
      <c r="C908" s="47"/>
      <c r="D908" s="47"/>
      <c r="E908" s="47"/>
      <c r="F908" s="47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3.1" spans="1:26">
      <c r="A909" s="40"/>
      <c r="B909" s="47"/>
      <c r="C909" s="47"/>
      <c r="D909" s="47"/>
      <c r="E909" s="47"/>
      <c r="F909" s="47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3.1" spans="1:26">
      <c r="A910" s="40"/>
      <c r="B910" s="47"/>
      <c r="C910" s="47"/>
      <c r="D910" s="47"/>
      <c r="E910" s="47"/>
      <c r="F910" s="47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3.1" spans="1:26">
      <c r="A911" s="40"/>
      <c r="B911" s="47"/>
      <c r="C911" s="47"/>
      <c r="D911" s="47"/>
      <c r="E911" s="47"/>
      <c r="F911" s="47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3.1" spans="1:26">
      <c r="A912" s="40"/>
      <c r="B912" s="47"/>
      <c r="C912" s="47"/>
      <c r="D912" s="47"/>
      <c r="E912" s="47"/>
      <c r="F912" s="47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3.1" spans="1:26">
      <c r="A913" s="40"/>
      <c r="B913" s="47"/>
      <c r="C913" s="47"/>
      <c r="D913" s="47"/>
      <c r="E913" s="47"/>
      <c r="F913" s="47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3.1" spans="1:26">
      <c r="A914" s="40"/>
      <c r="B914" s="47"/>
      <c r="C914" s="47"/>
      <c r="D914" s="47"/>
      <c r="E914" s="47"/>
      <c r="F914" s="47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3.1" spans="1:26">
      <c r="A915" s="40"/>
      <c r="B915" s="47"/>
      <c r="C915" s="47"/>
      <c r="D915" s="47"/>
      <c r="E915" s="47"/>
      <c r="F915" s="47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3.1" spans="1:26">
      <c r="A916" s="40"/>
      <c r="B916" s="47"/>
      <c r="C916" s="47"/>
      <c r="D916" s="47"/>
      <c r="E916" s="47"/>
      <c r="F916" s="47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3.1" spans="1:26">
      <c r="A917" s="40"/>
      <c r="B917" s="47"/>
      <c r="C917" s="47"/>
      <c r="D917" s="47"/>
      <c r="E917" s="47"/>
      <c r="F917" s="47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3.1" spans="1:26">
      <c r="A918" s="40"/>
      <c r="B918" s="47"/>
      <c r="C918" s="47"/>
      <c r="D918" s="47"/>
      <c r="E918" s="47"/>
      <c r="F918" s="47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3.1" spans="1:26">
      <c r="A919" s="40"/>
      <c r="B919" s="47"/>
      <c r="C919" s="47"/>
      <c r="D919" s="47"/>
      <c r="E919" s="47"/>
      <c r="F919" s="47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3.1" spans="1:26">
      <c r="A920" s="40"/>
      <c r="B920" s="47"/>
      <c r="C920" s="47"/>
      <c r="D920" s="47"/>
      <c r="E920" s="47"/>
      <c r="F920" s="47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3.1" spans="1:26">
      <c r="A921" s="40"/>
      <c r="B921" s="47"/>
      <c r="C921" s="47"/>
      <c r="D921" s="47"/>
      <c r="E921" s="47"/>
      <c r="F921" s="47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3.1" spans="1:26">
      <c r="A922" s="40"/>
      <c r="B922" s="47"/>
      <c r="C922" s="47"/>
      <c r="D922" s="47"/>
      <c r="E922" s="47"/>
      <c r="F922" s="47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3.1" spans="1:26">
      <c r="A923" s="40"/>
      <c r="B923" s="47"/>
      <c r="C923" s="47"/>
      <c r="D923" s="47"/>
      <c r="E923" s="47"/>
      <c r="F923" s="47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3.1" spans="1:26">
      <c r="A924" s="40"/>
      <c r="B924" s="47"/>
      <c r="C924" s="47"/>
      <c r="D924" s="47"/>
      <c r="E924" s="47"/>
      <c r="F924" s="47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3.1" spans="1:26">
      <c r="A925" s="40"/>
      <c r="B925" s="47"/>
      <c r="C925" s="47"/>
      <c r="D925" s="47"/>
      <c r="E925" s="47"/>
      <c r="F925" s="47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3.1" spans="1:26">
      <c r="A926" s="40"/>
      <c r="B926" s="47"/>
      <c r="C926" s="47"/>
      <c r="D926" s="47"/>
      <c r="E926" s="47"/>
      <c r="F926" s="47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3.1" spans="1:26">
      <c r="A927" s="40"/>
      <c r="B927" s="47"/>
      <c r="C927" s="47"/>
      <c r="D927" s="47"/>
      <c r="E927" s="47"/>
      <c r="F927" s="47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3.1" spans="1:26">
      <c r="A928" s="40"/>
      <c r="B928" s="47"/>
      <c r="C928" s="47"/>
      <c r="D928" s="47"/>
      <c r="E928" s="47"/>
      <c r="F928" s="47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3.1" spans="1:26">
      <c r="A929" s="40"/>
      <c r="B929" s="47"/>
      <c r="C929" s="47"/>
      <c r="D929" s="47"/>
      <c r="E929" s="47"/>
      <c r="F929" s="47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3.1" spans="1:26">
      <c r="A930" s="40"/>
      <c r="B930" s="47"/>
      <c r="C930" s="47"/>
      <c r="D930" s="47"/>
      <c r="E930" s="47"/>
      <c r="F930" s="47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3.1" spans="1:26">
      <c r="A931" s="40"/>
      <c r="B931" s="47"/>
      <c r="C931" s="47"/>
      <c r="D931" s="47"/>
      <c r="E931" s="47"/>
      <c r="F931" s="47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3.1" spans="1:26">
      <c r="A932" s="40"/>
      <c r="B932" s="47"/>
      <c r="C932" s="47"/>
      <c r="D932" s="47"/>
      <c r="E932" s="47"/>
      <c r="F932" s="47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3.1" spans="1:26">
      <c r="A933" s="40"/>
      <c r="B933" s="47"/>
      <c r="C933" s="47"/>
      <c r="D933" s="47"/>
      <c r="E933" s="47"/>
      <c r="F933" s="47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3.1" spans="1:26">
      <c r="A934" s="40"/>
      <c r="B934" s="47"/>
      <c r="C934" s="47"/>
      <c r="D934" s="47"/>
      <c r="E934" s="47"/>
      <c r="F934" s="47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3.1" spans="1:26">
      <c r="A935" s="40"/>
      <c r="B935" s="47"/>
      <c r="C935" s="47"/>
      <c r="D935" s="47"/>
      <c r="E935" s="47"/>
      <c r="F935" s="47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3.1" spans="1:26">
      <c r="A936" s="40"/>
      <c r="B936" s="47"/>
      <c r="C936" s="47"/>
      <c r="D936" s="47"/>
      <c r="E936" s="47"/>
      <c r="F936" s="47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3.1" spans="1:26">
      <c r="A937" s="40"/>
      <c r="B937" s="47"/>
      <c r="C937" s="47"/>
      <c r="D937" s="47"/>
      <c r="E937" s="47"/>
      <c r="F937" s="47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3.1" spans="1:26">
      <c r="A938" s="40"/>
      <c r="B938" s="47"/>
      <c r="C938" s="47"/>
      <c r="D938" s="47"/>
      <c r="E938" s="47"/>
      <c r="F938" s="47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3.1" spans="1:26">
      <c r="A939" s="40"/>
      <c r="B939" s="47"/>
      <c r="C939" s="47"/>
      <c r="D939" s="47"/>
      <c r="E939" s="47"/>
      <c r="F939" s="47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3.1" spans="1:26">
      <c r="A940" s="40"/>
      <c r="B940" s="47"/>
      <c r="C940" s="47"/>
      <c r="D940" s="47"/>
      <c r="E940" s="47"/>
      <c r="F940" s="47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3.1" spans="1:26">
      <c r="A941" s="40"/>
      <c r="B941" s="47"/>
      <c r="C941" s="47"/>
      <c r="D941" s="47"/>
      <c r="E941" s="47"/>
      <c r="F941" s="47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3.1" spans="1:26">
      <c r="A942" s="40"/>
      <c r="B942" s="47"/>
      <c r="C942" s="47"/>
      <c r="D942" s="47"/>
      <c r="E942" s="47"/>
      <c r="F942" s="47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3.1" spans="1:26">
      <c r="A943" s="40"/>
      <c r="B943" s="47"/>
      <c r="C943" s="47"/>
      <c r="D943" s="47"/>
      <c r="E943" s="47"/>
      <c r="F943" s="47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3.1" spans="1:26">
      <c r="A944" s="40"/>
      <c r="B944" s="47"/>
      <c r="C944" s="47"/>
      <c r="D944" s="47"/>
      <c r="E944" s="47"/>
      <c r="F944" s="47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3.1" spans="1:26">
      <c r="A945" s="40"/>
      <c r="B945" s="47"/>
      <c r="C945" s="47"/>
      <c r="D945" s="47"/>
      <c r="E945" s="47"/>
      <c r="F945" s="47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3.1" spans="1:26">
      <c r="A946" s="40"/>
      <c r="B946" s="47"/>
      <c r="C946" s="47"/>
      <c r="D946" s="47"/>
      <c r="E946" s="47"/>
      <c r="F946" s="47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3.1" spans="1:26">
      <c r="A947" s="40"/>
      <c r="B947" s="47"/>
      <c r="C947" s="47"/>
      <c r="D947" s="47"/>
      <c r="E947" s="47"/>
      <c r="F947" s="47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3.1" spans="1:26">
      <c r="A948" s="40"/>
      <c r="B948" s="47"/>
      <c r="C948" s="47"/>
      <c r="D948" s="47"/>
      <c r="E948" s="47"/>
      <c r="F948" s="47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3.1" spans="1:26">
      <c r="A949" s="40"/>
      <c r="B949" s="47"/>
      <c r="C949" s="47"/>
      <c r="D949" s="47"/>
      <c r="E949" s="47"/>
      <c r="F949" s="47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3.1" spans="1:26">
      <c r="A950" s="40"/>
      <c r="B950" s="47"/>
      <c r="C950" s="47"/>
      <c r="D950" s="47"/>
      <c r="E950" s="47"/>
      <c r="F950" s="47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3.1" spans="1:26">
      <c r="A951" s="40"/>
      <c r="B951" s="47"/>
      <c r="C951" s="47"/>
      <c r="D951" s="47"/>
      <c r="E951" s="47"/>
      <c r="F951" s="47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3.1" spans="1:26">
      <c r="A952" s="40"/>
      <c r="B952" s="47"/>
      <c r="C952" s="47"/>
      <c r="D952" s="47"/>
      <c r="E952" s="47"/>
      <c r="F952" s="47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3.1" spans="1:26">
      <c r="A953" s="40"/>
      <c r="B953" s="47"/>
      <c r="C953" s="47"/>
      <c r="D953" s="47"/>
      <c r="E953" s="47"/>
      <c r="F953" s="47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3.1" spans="1:26">
      <c r="A954" s="40"/>
      <c r="B954" s="47"/>
      <c r="C954" s="47"/>
      <c r="D954" s="47"/>
      <c r="E954" s="47"/>
      <c r="F954" s="47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3.1" spans="1:26">
      <c r="A955" s="40"/>
      <c r="B955" s="47"/>
      <c r="C955" s="47"/>
      <c r="D955" s="47"/>
      <c r="E955" s="47"/>
      <c r="F955" s="47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3.1" spans="1:26">
      <c r="A956" s="40"/>
      <c r="B956" s="47"/>
      <c r="C956" s="47"/>
      <c r="D956" s="47"/>
      <c r="E956" s="47"/>
      <c r="F956" s="47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3.1" spans="1:26">
      <c r="A957" s="40"/>
      <c r="B957" s="47"/>
      <c r="C957" s="47"/>
      <c r="D957" s="47"/>
      <c r="E957" s="47"/>
      <c r="F957" s="47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3.1" spans="1:26">
      <c r="A958" s="40"/>
      <c r="B958" s="47"/>
      <c r="C958" s="47"/>
      <c r="D958" s="47"/>
      <c r="E958" s="47"/>
      <c r="F958" s="47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3.1" spans="1:26">
      <c r="A959" s="40"/>
      <c r="B959" s="47"/>
      <c r="C959" s="47"/>
      <c r="D959" s="47"/>
      <c r="E959" s="47"/>
      <c r="F959" s="47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3.1" spans="1:26">
      <c r="A960" s="40"/>
      <c r="B960" s="47"/>
      <c r="C960" s="47"/>
      <c r="D960" s="47"/>
      <c r="E960" s="47"/>
      <c r="F960" s="47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3.1" spans="1:26">
      <c r="A961" s="40"/>
      <c r="B961" s="47"/>
      <c r="C961" s="47"/>
      <c r="D961" s="47"/>
      <c r="E961" s="47"/>
      <c r="F961" s="47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3.1" spans="1:26">
      <c r="A962" s="40"/>
      <c r="B962" s="47"/>
      <c r="C962" s="47"/>
      <c r="D962" s="47"/>
      <c r="E962" s="47"/>
      <c r="F962" s="47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3.1" spans="1:26">
      <c r="A963" s="40"/>
      <c r="B963" s="47"/>
      <c r="C963" s="47"/>
      <c r="D963" s="47"/>
      <c r="E963" s="47"/>
      <c r="F963" s="47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3.1" spans="1:26">
      <c r="A964" s="40"/>
      <c r="B964" s="47"/>
      <c r="C964" s="47"/>
      <c r="D964" s="47"/>
      <c r="E964" s="47"/>
      <c r="F964" s="47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3.1" spans="1:26">
      <c r="A965" s="40"/>
      <c r="B965" s="47"/>
      <c r="C965" s="47"/>
      <c r="D965" s="47"/>
      <c r="E965" s="47"/>
      <c r="F965" s="47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3.1" spans="1:26">
      <c r="A966" s="40"/>
      <c r="B966" s="47"/>
      <c r="C966" s="47"/>
      <c r="D966" s="47"/>
      <c r="E966" s="47"/>
      <c r="F966" s="47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3.1" spans="1:26">
      <c r="A967" s="40"/>
      <c r="B967" s="47"/>
      <c r="C967" s="47"/>
      <c r="D967" s="47"/>
      <c r="E967" s="47"/>
      <c r="F967" s="47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3.1" spans="1:26">
      <c r="A968" s="40"/>
      <c r="B968" s="47"/>
      <c r="C968" s="47"/>
      <c r="D968" s="47"/>
      <c r="E968" s="47"/>
      <c r="F968" s="47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3.1" spans="1:26">
      <c r="A969" s="40"/>
      <c r="B969" s="47"/>
      <c r="C969" s="47"/>
      <c r="D969" s="47"/>
      <c r="E969" s="47"/>
      <c r="F969" s="47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3.1" spans="1:26">
      <c r="A970" s="40"/>
      <c r="B970" s="47"/>
      <c r="C970" s="47"/>
      <c r="D970" s="47"/>
      <c r="E970" s="47"/>
      <c r="F970" s="47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3.1" spans="1:26">
      <c r="A971" s="40"/>
      <c r="B971" s="47"/>
      <c r="C971" s="47"/>
      <c r="D971" s="47"/>
      <c r="E971" s="47"/>
      <c r="F971" s="47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3.1" spans="1:26">
      <c r="A972" s="40"/>
      <c r="B972" s="47"/>
      <c r="C972" s="47"/>
      <c r="D972" s="47"/>
      <c r="E972" s="47"/>
      <c r="F972" s="47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3.1" spans="1:26">
      <c r="A973" s="40"/>
      <c r="B973" s="47"/>
      <c r="C973" s="47"/>
      <c r="D973" s="47"/>
      <c r="E973" s="47"/>
      <c r="F973" s="47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3.1" spans="1:26">
      <c r="A974" s="40"/>
      <c r="B974" s="47"/>
      <c r="C974" s="47"/>
      <c r="D974" s="47"/>
      <c r="E974" s="47"/>
      <c r="F974" s="47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3.1" spans="1:26">
      <c r="A975" s="40"/>
      <c r="B975" s="47"/>
      <c r="C975" s="47"/>
      <c r="D975" s="47"/>
      <c r="E975" s="47"/>
      <c r="F975" s="47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3.1" spans="1:26">
      <c r="A976" s="40"/>
      <c r="B976" s="47"/>
      <c r="C976" s="47"/>
      <c r="D976" s="47"/>
      <c r="E976" s="47"/>
      <c r="F976" s="47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3.1" spans="1:26">
      <c r="A977" s="40"/>
      <c r="B977" s="47"/>
      <c r="C977" s="47"/>
      <c r="D977" s="47"/>
      <c r="E977" s="47"/>
      <c r="F977" s="47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3.1" spans="1:26">
      <c r="A978" s="40"/>
      <c r="B978" s="47"/>
      <c r="C978" s="47"/>
      <c r="D978" s="47"/>
      <c r="E978" s="47"/>
      <c r="F978" s="47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3.1" spans="1:26">
      <c r="A979" s="40"/>
      <c r="B979" s="47"/>
      <c r="C979" s="47"/>
      <c r="D979" s="47"/>
      <c r="E979" s="47"/>
      <c r="F979" s="47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3.1" spans="1:26">
      <c r="A980" s="40"/>
      <c r="B980" s="47"/>
      <c r="C980" s="47"/>
      <c r="D980" s="47"/>
      <c r="E980" s="47"/>
      <c r="F980" s="47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3.1" spans="1:26">
      <c r="A981" s="40"/>
      <c r="B981" s="47"/>
      <c r="C981" s="47"/>
      <c r="D981" s="47"/>
      <c r="E981" s="47"/>
      <c r="F981" s="47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3.1" spans="1:26">
      <c r="A982" s="40"/>
      <c r="B982" s="47"/>
      <c r="C982" s="47"/>
      <c r="D982" s="47"/>
      <c r="E982" s="47"/>
      <c r="F982" s="47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3.1" spans="1:26">
      <c r="A983" s="40"/>
      <c r="B983" s="47"/>
      <c r="C983" s="47"/>
      <c r="D983" s="47"/>
      <c r="E983" s="47"/>
      <c r="F983" s="47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3.1" spans="1:26">
      <c r="A984" s="40"/>
      <c r="B984" s="47"/>
      <c r="C984" s="47"/>
      <c r="D984" s="47"/>
      <c r="E984" s="47"/>
      <c r="F984" s="47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3.1" spans="1:26">
      <c r="A985" s="40"/>
      <c r="B985" s="47"/>
      <c r="C985" s="47"/>
      <c r="D985" s="47"/>
      <c r="E985" s="47"/>
      <c r="F985" s="47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3.1" spans="1:26">
      <c r="A986" s="40"/>
      <c r="B986" s="47"/>
      <c r="C986" s="47"/>
      <c r="D986" s="47"/>
      <c r="E986" s="47"/>
      <c r="F986" s="47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3.1" spans="1:26">
      <c r="A987" s="40"/>
      <c r="B987" s="47"/>
      <c r="C987" s="47"/>
      <c r="D987" s="47"/>
      <c r="E987" s="47"/>
      <c r="F987" s="47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3.1" spans="1:26">
      <c r="A988" s="40"/>
      <c r="B988" s="47"/>
      <c r="C988" s="47"/>
      <c r="D988" s="47"/>
      <c r="E988" s="47"/>
      <c r="F988" s="47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3.1" spans="1:26">
      <c r="A989" s="40"/>
      <c r="B989" s="47"/>
      <c r="C989" s="47"/>
      <c r="D989" s="47"/>
      <c r="E989" s="47"/>
      <c r="F989" s="47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3.1" spans="1:26">
      <c r="A990" s="40"/>
      <c r="B990" s="47"/>
      <c r="C990" s="47"/>
      <c r="D990" s="47"/>
      <c r="E990" s="47"/>
      <c r="F990" s="47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3.1" spans="1:26">
      <c r="A991" s="40"/>
      <c r="B991" s="47"/>
      <c r="C991" s="47"/>
      <c r="D991" s="47"/>
      <c r="E991" s="47"/>
      <c r="F991" s="47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3.1" spans="1:26">
      <c r="A992" s="40"/>
      <c r="B992" s="47"/>
      <c r="C992" s="47"/>
      <c r="D992" s="47"/>
      <c r="E992" s="47"/>
      <c r="F992" s="47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3.1" spans="1:26">
      <c r="A993" s="40"/>
      <c r="B993" s="47"/>
      <c r="C993" s="47"/>
      <c r="D993" s="47"/>
      <c r="E993" s="47"/>
      <c r="F993" s="47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3.1" spans="1:26">
      <c r="A994" s="40"/>
      <c r="B994" s="47"/>
      <c r="C994" s="47"/>
      <c r="D994" s="47"/>
      <c r="E994" s="47"/>
      <c r="F994" s="47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3.1" spans="1:26">
      <c r="A995" s="40"/>
      <c r="B995" s="47"/>
      <c r="C995" s="47"/>
      <c r="D995" s="47"/>
      <c r="E995" s="47"/>
      <c r="F995" s="47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3.1" spans="1:26">
      <c r="A996" s="40"/>
      <c r="B996" s="47"/>
      <c r="C996" s="47"/>
      <c r="D996" s="47"/>
      <c r="E996" s="47"/>
      <c r="F996" s="47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3.1" spans="1:26">
      <c r="A997" s="40"/>
      <c r="B997" s="47"/>
      <c r="C997" s="47"/>
      <c r="D997" s="47"/>
      <c r="E997" s="47"/>
      <c r="F997" s="47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3.1" spans="1:26">
      <c r="A998" s="40"/>
      <c r="B998" s="47"/>
      <c r="C998" s="47"/>
      <c r="D998" s="47"/>
      <c r="E998" s="47"/>
      <c r="F998" s="47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3.1" spans="1:26">
      <c r="A999" s="40"/>
      <c r="B999" s="47"/>
      <c r="C999" s="47"/>
      <c r="D999" s="47"/>
      <c r="E999" s="47"/>
      <c r="F999" s="47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ht="13.1" spans="1:26">
      <c r="A1000" s="40"/>
      <c r="B1000" s="47"/>
      <c r="C1000" s="47"/>
      <c r="D1000" s="47"/>
      <c r="E1000" s="47"/>
      <c r="F1000" s="47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33" workbookViewId="0">
      <selection activeCell="C2" sqref="A2:A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style="32" customWidth="1"/>
  </cols>
  <sheetData>
    <row r="1" customHeight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customHeight="1" spans="1:4">
      <c r="A2" s="29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30">
        <f>IFERROR(__xludf.DUMMYFUNCTION("""COMPUTED_VALUE"""),157.601115760111)</f>
        <v>157.601115760111</v>
      </c>
      <c r="C2" s="30">
        <f>IFERROR(__xludf.DUMMYFUNCTION("""COMPUTED_VALUE"""),144.986359505092)</f>
        <v>144.986359505092</v>
      </c>
      <c r="D2" s="28" t="s">
        <v>32</v>
      </c>
    </row>
    <row r="3" customHeight="1" spans="1:6">
      <c r="A3" s="29" t="str">
        <f>IFERROR(__xludf.DUMMYFUNCTION("""COMPUTED_VALUE"""),"iPhone 11 128G")</f>
        <v>iPhone 11 128G</v>
      </c>
      <c r="B3" s="30">
        <f>IFERROR(__xludf.DUMMYFUNCTION("""COMPUTED_VALUE"""),176.987447698744)</f>
        <v>176.987447698744</v>
      </c>
      <c r="C3" s="30">
        <f>IFERROR(__xludf.DUMMYFUNCTION("""COMPUTED_VALUE"""),164.15700943747)</f>
        <v>164.15700943747</v>
      </c>
      <c r="D3" s="28" t="s">
        <v>32</v>
      </c>
      <c r="F3" s="42" t="s">
        <v>33</v>
      </c>
    </row>
    <row r="4" customHeight="1" spans="1:11">
      <c r="A4" s="29" t="str">
        <f>IFERROR(__xludf.DUMMYFUNCTION("""COMPUTED_VALUE"""),"iPhone 11 256G")</f>
        <v>iPhone 11 256G</v>
      </c>
      <c r="B4" s="30">
        <f>IFERROR(__xludf.DUMMYFUNCTION("""COMPUTED_VALUE"""),189.679218967921)</f>
        <v>189.679218967921</v>
      </c>
      <c r="C4" s="30">
        <f>IFERROR(__xludf.DUMMYFUNCTION("""COMPUTED_VALUE"""),176.736230125523)</f>
        <v>176.736230125523</v>
      </c>
      <c r="D4" s="28" t="s">
        <v>32</v>
      </c>
      <c r="F4" s="43"/>
      <c r="G4" s="44"/>
      <c r="H4" s="44"/>
      <c r="I4" s="44"/>
      <c r="J4" s="44"/>
      <c r="K4" s="44"/>
    </row>
    <row r="5" customHeight="1" spans="1:11">
      <c r="A5" s="29" t="str">
        <f>IFERROR(__xludf.DUMMYFUNCTION("""COMPUTED_VALUE"""),"iPhone 11 Pro 64G")</f>
        <v>iPhone 11 Pro 64G</v>
      </c>
      <c r="B5" s="30">
        <f>IFERROR(__xludf.DUMMYFUNCTION("""COMPUTED_VALUE"""),191.910739191073)</f>
        <v>191.910739191073</v>
      </c>
      <c r="C5" s="30">
        <f>IFERROR(__xludf.DUMMYFUNCTION("""COMPUTED_VALUE"""),178.930847280334)</f>
        <v>178.930847280334</v>
      </c>
      <c r="D5" s="28" t="s">
        <v>32</v>
      </c>
      <c r="F5" s="45" t="s">
        <v>34</v>
      </c>
      <c r="G5" s="32"/>
      <c r="H5" s="32"/>
      <c r="I5" s="32"/>
      <c r="J5" s="32"/>
      <c r="K5" s="32"/>
    </row>
    <row r="6" customHeight="1" spans="1:11">
      <c r="A6" s="29" t="str">
        <f>IFERROR(__xludf.DUMMYFUNCTION("""COMPUTED_VALUE"""),"iPhone 11 Pro 256G")</f>
        <v>iPhone 11 Pro 256G</v>
      </c>
      <c r="B6" s="30">
        <f>IFERROR(__xludf.DUMMYFUNCTION("""COMPUTED_VALUE"""),218.853556485355)</f>
        <v>218.853556485355</v>
      </c>
      <c r="C6" s="30">
        <f>IFERROR(__xludf.DUMMYFUNCTION("""COMPUTED_VALUE"""),205.612378521617)</f>
        <v>205.612378521617</v>
      </c>
      <c r="D6" s="28" t="s">
        <v>32</v>
      </c>
      <c r="G6" s="32"/>
      <c r="H6" s="32"/>
      <c r="I6" s="32"/>
      <c r="J6" s="32"/>
      <c r="K6" s="32"/>
    </row>
    <row r="7" customHeight="1" spans="1:11">
      <c r="A7" s="29" t="str">
        <f>IFERROR(__xludf.DUMMYFUNCTION("""COMPUTED_VALUE"""),"iPhone 11 Pro 512G")</f>
        <v>iPhone 11 Pro 512G</v>
      </c>
      <c r="B7" s="30">
        <f>IFERROR(__xludf.DUMMYFUNCTION("""COMPUTED_VALUE"""),230.125523012552)</f>
        <v>230.125523012552</v>
      </c>
      <c r="C7" s="30">
        <f>IFERROR(__xludf.DUMMYFUNCTION("""COMPUTED_VALUE"""),216.786241283124)</f>
        <v>216.786241283124</v>
      </c>
      <c r="D7" s="28" t="s">
        <v>32</v>
      </c>
      <c r="G7" s="32"/>
      <c r="H7" s="32"/>
      <c r="I7" s="32"/>
      <c r="J7" s="32"/>
      <c r="K7" s="32"/>
    </row>
    <row r="8" customHeight="1" spans="1:11">
      <c r="A8" s="29" t="str">
        <f>IFERROR(__xludf.DUMMYFUNCTION("""COMPUTED_VALUE"""),"iPhone 11 Pro Max 64G")</f>
        <v>iPhone 11 Pro Max 64G</v>
      </c>
      <c r="B8" s="30">
        <f>IFERROR(__xludf.DUMMYFUNCTION("""COMPUTED_VALUE"""),226.359832635983)</f>
        <v>226.359832635983</v>
      </c>
      <c r="C8" s="30">
        <f>IFERROR(__xludf.DUMMYFUNCTION("""COMPUTED_VALUE"""),213.030886750348)</f>
        <v>213.030886750348</v>
      </c>
      <c r="D8" s="28" t="s">
        <v>32</v>
      </c>
      <c r="G8" s="32"/>
      <c r="H8" s="32"/>
      <c r="I8" s="32"/>
      <c r="J8" s="32"/>
      <c r="K8" s="32"/>
    </row>
    <row r="9" customHeight="1" spans="1:11">
      <c r="A9" s="29" t="str">
        <f>IFERROR(__xludf.DUMMYFUNCTION("""COMPUTED_VALUE"""),"iPhone 11 Pro Max 256G")</f>
        <v>iPhone 11 Pro Max 256G</v>
      </c>
      <c r="B9" s="30">
        <f>IFERROR(__xludf.DUMMYFUNCTION("""COMPUTED_VALUE"""),249.246861924686)</f>
        <v>249.246861924686</v>
      </c>
      <c r="C9" s="30">
        <f>IFERROR(__xludf.DUMMYFUNCTION("""COMPUTED_VALUE"""),235.710791492329)</f>
        <v>235.710791492329</v>
      </c>
      <c r="D9" s="28" t="s">
        <v>32</v>
      </c>
      <c r="G9" s="32"/>
      <c r="H9" s="32"/>
      <c r="I9" s="32"/>
      <c r="J9" s="32"/>
      <c r="K9" s="32"/>
    </row>
    <row r="10" customHeight="1" spans="1:11">
      <c r="A10" s="29" t="str">
        <f>IFERROR(__xludf.DUMMYFUNCTION("""COMPUTED_VALUE"""),"iPhone 11 Pro Max 512G")</f>
        <v>iPhone 11 Pro Max 512G</v>
      </c>
      <c r="B10" s="30">
        <f>IFERROR(__xludf.DUMMYFUNCTION("""COMPUTED_VALUE"""),267.085076708507)</f>
        <v>267.085076708507</v>
      </c>
      <c r="C10" s="30">
        <f>IFERROR(__xludf.DUMMYFUNCTION("""COMPUTED_VALUE"""),253.389972222222)</f>
        <v>253.389972222222</v>
      </c>
      <c r="D10" s="28" t="s">
        <v>32</v>
      </c>
      <c r="G10" s="32"/>
      <c r="H10" s="32"/>
      <c r="I10" s="32"/>
      <c r="J10" s="32"/>
      <c r="K10" s="32"/>
    </row>
    <row r="11" customHeight="1" spans="1:11">
      <c r="A11" s="29" t="str">
        <f>IFERROR(__xludf.DUMMYFUNCTION("""COMPUTED_VALUE"""),"iPhone 12 64G")</f>
        <v>iPhone 12 64G</v>
      </c>
      <c r="B11" s="30">
        <f>IFERROR(__xludf.DUMMYFUNCTION("""COMPUTED_VALUE"""),178.521617852161)</f>
        <v>178.521617852161</v>
      </c>
      <c r="C11" s="30">
        <f>IFERROR(__xludf.DUMMYFUNCTION("""COMPUTED_VALUE"""),165.667307199309)</f>
        <v>165.667307199309</v>
      </c>
      <c r="D11" s="28" t="s">
        <v>32</v>
      </c>
      <c r="G11" s="32"/>
      <c r="H11" s="32"/>
      <c r="I11" s="32"/>
      <c r="J11" s="32"/>
      <c r="K11" s="32"/>
    </row>
    <row r="12" customHeight="1" spans="1:11">
      <c r="A12" s="29" t="str">
        <f>IFERROR(__xludf.DUMMYFUNCTION("""COMPUTED_VALUE"""),"iPhone 12 128G")</f>
        <v>iPhone 12 128G</v>
      </c>
      <c r="B12" s="30">
        <f>IFERROR(__xludf.DUMMYFUNCTION("""COMPUTED_VALUE"""),203.347280334728)</f>
        <v>203.347280334728</v>
      </c>
      <c r="C12" s="30">
        <f>IFERROR(__xludf.DUMMYFUNCTION("""COMPUTED_VALUE"""),190.257286629474)</f>
        <v>190.257286629474</v>
      </c>
      <c r="D12" s="28" t="s">
        <v>32</v>
      </c>
      <c r="G12" s="32"/>
      <c r="H12" s="32"/>
      <c r="I12" s="32"/>
      <c r="J12" s="32"/>
      <c r="K12" s="32"/>
    </row>
    <row r="13" customHeight="1" spans="1:11">
      <c r="A13" s="29" t="str">
        <f>IFERROR(__xludf.DUMMYFUNCTION("""COMPUTED_VALUE"""),"iPhone 12 256G")</f>
        <v>iPhone 12 256G</v>
      </c>
      <c r="B13" s="30">
        <f>IFERROR(__xludf.DUMMYFUNCTION("""COMPUTED_VALUE"""),221.896792189679)</f>
        <v>221.896792189679</v>
      </c>
      <c r="C13" s="30">
        <f>IFERROR(__xludf.DUMMYFUNCTION("""COMPUTED_VALUE"""),208.627167549976)</f>
        <v>208.627167549976</v>
      </c>
      <c r="D13" s="28" t="s">
        <v>32</v>
      </c>
      <c r="G13" s="32"/>
      <c r="H13" s="32"/>
      <c r="I13" s="32"/>
      <c r="J13" s="32"/>
      <c r="K13" s="32"/>
    </row>
    <row r="14" customHeight="1" spans="1:11">
      <c r="A14" s="29" t="str">
        <f>IFERROR(__xludf.DUMMYFUNCTION("""COMPUTED_VALUE"""),"iPhone 12 mini 64G")</f>
        <v>iPhone 12 mini 64G</v>
      </c>
      <c r="B14" s="30">
        <f>IFERROR(__xludf.DUMMYFUNCTION("""COMPUTED_VALUE"""),140.585774058577)</f>
        <v>140.585774058577</v>
      </c>
      <c r="C14" s="30">
        <f>IFERROR(__xludf.DUMMYFUNCTION("""COMPUTED_VALUE"""),128.107041143654)</f>
        <v>128.107041143654</v>
      </c>
      <c r="D14" s="28" t="s">
        <v>32</v>
      </c>
      <c r="G14" s="32"/>
      <c r="H14" s="32"/>
      <c r="I14" s="32"/>
      <c r="J14" s="32"/>
      <c r="K14" s="32"/>
    </row>
    <row r="15" customHeight="1" spans="1:11">
      <c r="A15" s="29" t="str">
        <f>IFERROR(__xludf.DUMMYFUNCTION("""COMPUTED_VALUE"""),"iPhone 12 mini 128G")</f>
        <v>iPhone 12 mini 128G</v>
      </c>
      <c r="B15" s="30">
        <f>IFERROR(__xludf.DUMMYFUNCTION("""COMPUTED_VALUE"""),154.672245467224)</f>
        <v>154.672245467224</v>
      </c>
      <c r="C15" s="30">
        <f>IFERROR(__xludf.DUMMYFUNCTION("""COMPUTED_VALUE"""),142.048873568319)</f>
        <v>142.048873568319</v>
      </c>
      <c r="D15" s="28" t="s">
        <v>32</v>
      </c>
      <c r="G15" s="32"/>
      <c r="H15" s="32"/>
      <c r="I15" s="32"/>
      <c r="J15" s="32"/>
      <c r="K15" s="32"/>
    </row>
    <row r="16" customHeight="1" spans="1:11">
      <c r="A16" s="29" t="str">
        <f>IFERROR(__xludf.DUMMYFUNCTION("""COMPUTED_VALUE"""),"iPhone 12 mini 256G")</f>
        <v>iPhone 12 mini 256G</v>
      </c>
      <c r="B16" s="30">
        <f>IFERROR(__xludf.DUMMYFUNCTION("""COMPUTED_VALUE"""),167.364016736401)</f>
        <v>167.364016736401</v>
      </c>
      <c r="C16" s="30">
        <f>IFERROR(__xludf.DUMMYFUNCTION("""COMPUTED_VALUE"""),154.560201467755)</f>
        <v>154.560201467755</v>
      </c>
      <c r="D16" s="28" t="s">
        <v>32</v>
      </c>
      <c r="F16" s="31"/>
      <c r="G16" s="46"/>
      <c r="H16" s="46"/>
      <c r="I16" s="46"/>
      <c r="J16" s="46"/>
      <c r="K16" s="46"/>
    </row>
    <row r="17" customHeight="1" spans="1:4">
      <c r="A17" s="29" t="str">
        <f>IFERROR(__xludf.DUMMYFUNCTION("""COMPUTED_VALUE"""),"iPhone 12 Pro 128G")</f>
        <v>iPhone 12 Pro 128G</v>
      </c>
      <c r="B17" s="30">
        <f>IFERROR(__xludf.DUMMYFUNCTION("""COMPUTED_VALUE"""),259.832635983263)</f>
        <v>259.832635983263</v>
      </c>
      <c r="C17" s="30">
        <f>IFERROR(__xludf.DUMMYFUNCTION("""COMPUTED_VALUE"""),246.1528638507)</f>
        <v>246.1528638507</v>
      </c>
      <c r="D17" s="28" t="s">
        <v>32</v>
      </c>
    </row>
    <row r="18" customHeight="1" spans="1:4">
      <c r="A18" s="29" t="str">
        <f>IFERROR(__xludf.DUMMYFUNCTION("""COMPUTED_VALUE"""),"iPhone 12 Pro 256G")</f>
        <v>iPhone 12 Pro 256G</v>
      </c>
      <c r="B18" s="30">
        <f>IFERROR(__xludf.DUMMYFUNCTION("""COMPUTED_VALUE"""),280.334728033472)</f>
        <v>280.334728033472</v>
      </c>
      <c r="C18" s="30">
        <f>IFERROR(__xludf.DUMMYFUNCTION("""COMPUTED_VALUE"""),266.485719723384)</f>
        <v>266.485719723384</v>
      </c>
      <c r="D18" s="28" t="s">
        <v>32</v>
      </c>
    </row>
    <row r="19" customHeight="1" spans="1:4">
      <c r="A19" s="29" t="str">
        <f>IFERROR(__xludf.DUMMYFUNCTION("""COMPUTED_VALUE"""),"iPhone 12 Pro 512G")</f>
        <v>iPhone 12 Pro 512G</v>
      </c>
      <c r="B19" s="30">
        <f>IFERROR(__xludf.DUMMYFUNCTION("""COMPUTED_VALUE"""),290.934449093444)</f>
        <v>290.934449093444</v>
      </c>
      <c r="C19" s="30">
        <f>IFERROR(__xludf.DUMMYFUNCTION("""COMPUTED_VALUE"""),276.966376150627)</f>
        <v>276.966376150627</v>
      </c>
      <c r="D19" s="28" t="s">
        <v>32</v>
      </c>
    </row>
    <row r="20" customHeight="1" spans="1:4">
      <c r="A20" s="29" t="str">
        <f>IFERROR(__xludf.DUMMYFUNCTION("""COMPUTED_VALUE"""),"iPhone 12 Pro Max 128G")</f>
        <v>iPhone 12 Pro Max 128G</v>
      </c>
      <c r="B20" s="30">
        <f>IFERROR(__xludf.DUMMYFUNCTION("""COMPUTED_VALUE"""),351.652272073811)</f>
        <v>351.652272073811</v>
      </c>
      <c r="C20" s="30">
        <f>IFERROR(__xludf.DUMMYFUNCTION("""COMPUTED_VALUE"""),337.080129313736)</f>
        <v>337.080129313736</v>
      </c>
      <c r="D20" s="28" t="s">
        <v>32</v>
      </c>
    </row>
    <row r="21" customHeight="1" spans="1:4">
      <c r="A21" s="29" t="str">
        <f>IFERROR(__xludf.DUMMYFUNCTION("""COMPUTED_VALUE"""),"iPhone 12 Pro Max 256G")</f>
        <v>iPhone 12 Pro Max 256G</v>
      </c>
      <c r="B21" s="30">
        <f>IFERROR(__xludf.DUMMYFUNCTION("""COMPUTED_VALUE"""),373.668774248763)</f>
        <v>373.668774248763</v>
      </c>
      <c r="C21" s="30">
        <f>IFERROR(__xludf.DUMMYFUNCTION("""COMPUTED_VALUE"""),358.921907146781)</f>
        <v>358.921907146781</v>
      </c>
      <c r="D21" s="28" t="s">
        <v>32</v>
      </c>
    </row>
    <row r="22" customHeight="1" spans="1:4">
      <c r="A22" s="29" t="str">
        <f>IFERROR(__xludf.DUMMYFUNCTION("""COMPUTED_VALUE"""),"iPhone 12 Pro Max 512G")</f>
        <v>iPhone 12 Pro Max 512G</v>
      </c>
      <c r="B22" s="30">
        <f>IFERROR(__xludf.DUMMYFUNCTION("""COMPUTED_VALUE"""),388.466029288702)</f>
        <v>388.466029288702</v>
      </c>
      <c r="C22" s="30">
        <f>IFERROR(__xludf.DUMMYFUNCTION("""COMPUTED_VALUE"""),373.575214318921)</f>
        <v>373.575214318921</v>
      </c>
      <c r="D22" s="28" t="s">
        <v>32</v>
      </c>
    </row>
    <row r="23" customHeight="1" spans="1:4">
      <c r="A23" s="29" t="str">
        <f>IFERROR(__xludf.DUMMYFUNCTION("""COMPUTED_VALUE"""),"iPhone 13 128G")</f>
        <v>iPhone 13 128G</v>
      </c>
      <c r="B23" s="30">
        <f>IFERROR(__xludf.DUMMYFUNCTION("""COMPUTED_VALUE"""),284.239888423988)</f>
        <v>284.239888423988</v>
      </c>
      <c r="C23" s="30">
        <f>IFERROR(__xludf.DUMMYFUNCTION("""COMPUTED_VALUE"""),270.345479183699)</f>
        <v>270.345479183699</v>
      </c>
      <c r="D23" s="28" t="s">
        <v>32</v>
      </c>
    </row>
    <row r="24" customHeight="1" spans="1:4">
      <c r="A24" s="29" t="str">
        <f>IFERROR(__xludf.DUMMYFUNCTION("""COMPUTED_VALUE"""),"iPhone 13 256G")</f>
        <v>iPhone 13 256G</v>
      </c>
      <c r="B24" s="30">
        <f>IFERROR(__xludf.DUMMYFUNCTION("""COMPUTED_VALUE"""),304.881450488145)</f>
        <v>304.881450488145</v>
      </c>
      <c r="C24" s="30">
        <f>IFERROR(__xludf.DUMMYFUNCTION("""COMPUTED_VALUE"""),290.806069436142)</f>
        <v>290.806069436142</v>
      </c>
      <c r="D24" s="28" t="s">
        <v>32</v>
      </c>
    </row>
    <row r="25" customHeight="1" spans="1:4">
      <c r="A25" s="29" t="str">
        <f>IFERROR(__xludf.DUMMYFUNCTION("""COMPUTED_VALUE"""),"iPhone 13 512G")</f>
        <v>iPhone 13 512G</v>
      </c>
      <c r="B25" s="30">
        <f>IFERROR(__xludf.DUMMYFUNCTION("""COMPUTED_VALUE"""),321.757322175732)</f>
        <v>321.757322175732</v>
      </c>
      <c r="C25" s="30">
        <f>IFERROR(__xludf.DUMMYFUNCTION("""COMPUTED_VALUE"""),307.477592703974)</f>
        <v>307.477592703974</v>
      </c>
      <c r="D25" s="28" t="s">
        <v>32</v>
      </c>
    </row>
    <row r="26" customHeight="1" spans="1:4">
      <c r="A26" s="29" t="str">
        <f>IFERROR(__xludf.DUMMYFUNCTION("""COMPUTED_VALUE"""),"iPhone 13 mini 128G")</f>
        <v>iPhone 13 mini 128G</v>
      </c>
      <c r="B26" s="30">
        <f>IFERROR(__xludf.DUMMYFUNCTION("""COMPUTED_VALUE"""),227.8940027894)</f>
        <v>227.8940027894</v>
      </c>
      <c r="C26" s="30">
        <f>IFERROR(__xludf.DUMMYFUNCTION("""COMPUTED_VALUE"""),214.569455408337)</f>
        <v>214.569455408337</v>
      </c>
      <c r="D26" s="28" t="s">
        <v>32</v>
      </c>
    </row>
    <row r="27" customHeight="1" spans="1:4">
      <c r="A27" s="29" t="str">
        <f>IFERROR(__xludf.DUMMYFUNCTION("""COMPUTED_VALUE"""),"iPhone 13 mini 256G")</f>
        <v>iPhone 13 mini 256G</v>
      </c>
      <c r="B27" s="30">
        <f>IFERROR(__xludf.DUMMYFUNCTION("""COMPUTED_VALUE"""),250.20920502092)</f>
        <v>250.20920502092</v>
      </c>
      <c r="C27" s="30">
        <f>IFERROR(__xludf.DUMMYFUNCTION("""COMPUTED_VALUE"""),236.645011070432)</f>
        <v>236.645011070432</v>
      </c>
      <c r="D27" s="28" t="s">
        <v>32</v>
      </c>
    </row>
    <row r="28" customHeight="1" spans="1:4">
      <c r="A28" s="29" t="str">
        <f>IFERROR(__xludf.DUMMYFUNCTION("""COMPUTED_VALUE"""),"iPhone 13 mini 512G")</f>
        <v>iPhone 13 mini 512G</v>
      </c>
      <c r="B28" s="30">
        <f>IFERROR(__xludf.DUMMYFUNCTION("""COMPUTED_VALUE"""),274.616457461645)</f>
        <v>274.616457461645</v>
      </c>
      <c r="C28" s="30">
        <f>IFERROR(__xludf.DUMMYFUNCTION("""COMPUTED_VALUE"""),260.755573570432)</f>
        <v>260.755573570432</v>
      </c>
      <c r="D28" s="28" t="s">
        <v>32</v>
      </c>
    </row>
    <row r="29" customHeight="1" spans="1:4">
      <c r="A29" s="29" t="str">
        <f>IFERROR(__xludf.DUMMYFUNCTION("""COMPUTED_VALUE"""),"iPhone 13 Pro 128G")</f>
        <v>iPhone 13 Pro 128G</v>
      </c>
      <c r="B29" s="30">
        <f>IFERROR(__xludf.DUMMYFUNCTION("""COMPUTED_VALUE"""),386.946668758716)</f>
        <v>386.946668758716</v>
      </c>
      <c r="C29" s="30">
        <f>IFERROR(__xludf.DUMMYFUNCTION("""COMPUTED_VALUE"""),372.050917247791)</f>
        <v>372.050917247791</v>
      </c>
      <c r="D29" s="28" t="s">
        <v>32</v>
      </c>
    </row>
    <row r="30" customHeight="1" spans="1:4">
      <c r="A30" s="29" t="str">
        <f>IFERROR(__xludf.DUMMYFUNCTION("""COMPUTED_VALUE"""),"iPhone 13 Pro 256G")</f>
        <v>iPhone 13 Pro 256G</v>
      </c>
      <c r="B30" s="30">
        <f>IFERROR(__xludf.DUMMYFUNCTION("""COMPUTED_VALUE"""),417.864139513598)</f>
        <v>417.864139513598</v>
      </c>
      <c r="C30" s="30">
        <f>IFERROR(__xludf.DUMMYFUNCTION("""COMPUTED_VALUE"""),402.657915417247)</f>
        <v>402.657915417247</v>
      </c>
      <c r="D30" s="28" t="s">
        <v>32</v>
      </c>
    </row>
    <row r="31" customHeight="1" spans="1:4">
      <c r="A31" s="29" t="str">
        <f>IFERROR(__xludf.DUMMYFUNCTION("""COMPUTED_VALUE"""),"iPhone 13 Pro 512G")</f>
        <v>iPhone 13 Pro 512G</v>
      </c>
      <c r="B31" s="30">
        <f>IFERROR(__xludf.DUMMYFUNCTION("""COMPUTED_VALUE"""),457.909060859642)</f>
        <v>457.909060859642</v>
      </c>
      <c r="C31" s="30">
        <f>IFERROR(__xludf.DUMMYFUNCTION("""COMPUTED_VALUE"""),442.464710958962)</f>
        <v>442.464710958962</v>
      </c>
      <c r="D31" s="28" t="s">
        <v>32</v>
      </c>
    </row>
    <row r="32" customHeight="1" spans="1:4">
      <c r="A32" s="29" t="str">
        <f>IFERROR(__xludf.DUMMYFUNCTION("""COMPUTED_VALUE"""),"iPhone 13 Pro 1T")</f>
        <v>iPhone 13 Pro 1T</v>
      </c>
      <c r="B32" s="30">
        <f>IFERROR(__xludf.DUMMYFUNCTION("""COMPUTED_VALUE"""),467.114719386331)</f>
        <v>467.114719386331</v>
      </c>
      <c r="C32" s="30">
        <f>IFERROR(__xludf.DUMMYFUNCTION("""COMPUTED_VALUE"""),451.577176940957)</f>
        <v>451.577176940957</v>
      </c>
      <c r="D32" s="28" t="s">
        <v>32</v>
      </c>
    </row>
    <row r="33" customHeight="1" spans="1:4">
      <c r="A33" s="29" t="str">
        <f>IFERROR(__xludf.DUMMYFUNCTION("""COMPUTED_VALUE"""),"iPhone 13 Pro Max 128G")</f>
        <v>iPhone 13 Pro Max 128G</v>
      </c>
      <c r="B33" s="30">
        <f>IFERROR(__xludf.DUMMYFUNCTION("""COMPUTED_VALUE"""),458.087937935843)</f>
        <v>458.087937935843</v>
      </c>
      <c r="C33" s="30">
        <f>IFERROR(__xludf.DUMMYFUNCTION("""COMPUTED_VALUE"""),442.537472338447)</f>
        <v>442.537472338447</v>
      </c>
      <c r="D33" s="28" t="s">
        <v>32</v>
      </c>
    </row>
    <row r="34" customHeight="1" spans="1:4">
      <c r="A34" s="29" t="str">
        <f>IFERROR(__xludf.DUMMYFUNCTION("""COMPUTED_VALUE"""),"iPhone 13 Pro Max 256G")</f>
        <v>iPhone 13 Pro Max 256G</v>
      </c>
      <c r="B34" s="30">
        <f>IFERROR(__xludf.DUMMYFUNCTION("""COMPUTED_VALUE"""),489.391034867503)</f>
        <v>489.391034867503</v>
      </c>
      <c r="C34" s="30">
        <f>IFERROR(__xludf.DUMMYFUNCTION("""COMPUTED_VALUE"""),473.494534635053)</f>
        <v>473.494534635053</v>
      </c>
      <c r="D34" s="28" t="s">
        <v>32</v>
      </c>
    </row>
    <row r="35" customHeight="1" spans="1:4">
      <c r="A35" s="29" t="str">
        <f>IFERROR(__xludf.DUMMYFUNCTION("""COMPUTED_VALUE"""),"iPhone 13 Pro Max 512G")</f>
        <v>iPhone 13 Pro Max 512G</v>
      </c>
      <c r="B35" s="30">
        <f>IFERROR(__xludf.DUMMYFUNCTION("""COMPUTED_VALUE"""),525.033421735865)</f>
        <v>525.033421735865</v>
      </c>
      <c r="C35" s="30">
        <f>IFERROR(__xludf.DUMMYFUNCTION("""COMPUTED_VALUE"""),508.878627042878)</f>
        <v>508.878627042878</v>
      </c>
      <c r="D35" s="28" t="s">
        <v>32</v>
      </c>
    </row>
    <row r="36" customHeight="1" spans="1:4">
      <c r="A36" s="29" t="str">
        <f>IFERROR(__xludf.DUMMYFUNCTION("""COMPUTED_VALUE"""),"iPhone 13 Pro Max 1T")</f>
        <v>iPhone 13 Pro Max 1T</v>
      </c>
      <c r="B36" s="30">
        <f>IFERROR(__xludf.DUMMYFUNCTION("""COMPUTED_VALUE"""),545.462693863319)</f>
        <v>545.462693863319</v>
      </c>
      <c r="C36" s="30">
        <f>IFERROR(__xludf.DUMMYFUNCTION("""COMPUTED_VALUE"""),529.099722454672)</f>
        <v>529.099722454672</v>
      </c>
      <c r="D36" s="28" t="s">
        <v>32</v>
      </c>
    </row>
    <row r="37" customHeight="1" spans="1:4">
      <c r="A37" s="29" t="str">
        <f>IFERROR(__xludf.DUMMYFUNCTION("""COMPUTED_VALUE"""),"iPhone 14 128G")</f>
        <v>iPhone 14 128G</v>
      </c>
      <c r="B37" s="30">
        <f>IFERROR(__xludf.DUMMYFUNCTION("""COMPUTED_VALUE"""),325.941422594142)</f>
        <v>325.941422594142</v>
      </c>
      <c r="C37" s="30">
        <f>IFERROR(__xludf.DUMMYFUNCTION("""COMPUTED_VALUE"""),311.612188633193)</f>
        <v>311.612188633193</v>
      </c>
      <c r="D37" s="28" t="s">
        <v>32</v>
      </c>
    </row>
    <row r="38" customHeight="1" spans="1:4">
      <c r="A38" s="29" t="str">
        <f>IFERROR(__xludf.DUMMYFUNCTION("""COMPUTED_VALUE"""),"iPhone 14 256G")</f>
        <v>iPhone 14 256G</v>
      </c>
      <c r="B38" s="30">
        <f>IFERROR(__xludf.DUMMYFUNCTION("""COMPUTED_VALUE"""),358.160947798366)</f>
        <v>358.160947798366</v>
      </c>
      <c r="C38" s="30">
        <f>IFERROR(__xludf.DUMMYFUNCTION("""COMPUTED_VALUE"""),343.608925682406)</f>
        <v>343.608925682406</v>
      </c>
      <c r="D38" s="28" t="s">
        <v>32</v>
      </c>
    </row>
    <row r="39" customHeight="1" spans="1:4">
      <c r="A39" s="29" t="str">
        <f>IFERROR(__xludf.DUMMYFUNCTION("""COMPUTED_VALUE"""),"iPhone 14 512G")</f>
        <v>iPhone 14 512G</v>
      </c>
      <c r="B39" s="30">
        <f>IFERROR(__xludf.DUMMYFUNCTION("""COMPUTED_VALUE"""),386.713459728033)</f>
        <v>386.713459728033</v>
      </c>
      <c r="C39" s="30">
        <f>IFERROR(__xludf.DUMMYFUNCTION("""COMPUTED_VALUE"""),371.895444560669)</f>
        <v>371.895444560669</v>
      </c>
      <c r="D39" s="28" t="s">
        <v>32</v>
      </c>
    </row>
    <row r="40" customHeight="1" spans="1:4">
      <c r="A40" s="29" t="str">
        <f>IFERROR(__xludf.DUMMYFUNCTION("""COMPUTED_VALUE"""),"iPhone 14 Plus 128G")</f>
        <v>iPhone 14 Plus 128G</v>
      </c>
      <c r="B40" s="30">
        <f>IFERROR(__xludf.DUMMYFUNCTION("""COMPUTED_VALUE"""),344.282768479776)</f>
        <v>344.282768479776</v>
      </c>
      <c r="C40" s="30">
        <f>IFERROR(__xludf.DUMMYFUNCTION("""COMPUTED_VALUE"""),329.828679683867)</f>
        <v>329.828679683867</v>
      </c>
      <c r="D40" s="28" t="s">
        <v>32</v>
      </c>
    </row>
    <row r="41" customHeight="1" spans="1:4">
      <c r="A41" s="29" t="str">
        <f>IFERROR(__xludf.DUMMYFUNCTION("""COMPUTED_VALUE"""),"iPhone 14 Plus 256G")</f>
        <v>iPhone 14 Plus 256G</v>
      </c>
      <c r="B41" s="30">
        <f>IFERROR(__xludf.DUMMYFUNCTION("""COMPUTED_VALUE"""),377.280079766119)</f>
        <v>377.280079766119</v>
      </c>
      <c r="C41" s="30">
        <f>IFERROR(__xludf.DUMMYFUNCTION("""COMPUTED_VALUE"""),362.538184279226)</f>
        <v>362.538184279226</v>
      </c>
      <c r="D41" s="28" t="s">
        <v>32</v>
      </c>
    </row>
    <row r="42" customHeight="1" spans="1:4">
      <c r="A42" s="29" t="str">
        <f>IFERROR(__xludf.DUMMYFUNCTION("""COMPUTED_VALUE"""),"iPhone 14 Plus 512G")</f>
        <v>iPhone 14 Plus 512G</v>
      </c>
      <c r="B42" s="30">
        <f>IFERROR(__xludf.DUMMYFUNCTION("""COMPUTED_VALUE"""),412.214053870292)</f>
        <v>412.214053870292</v>
      </c>
      <c r="C42" s="30">
        <f>IFERROR(__xludf.DUMMYFUNCTION("""COMPUTED_VALUE"""),397.171061483031)</f>
        <v>397.171061483031</v>
      </c>
      <c r="D42" s="28" t="s">
        <v>32</v>
      </c>
    </row>
    <row r="43" customHeight="1" spans="1:4">
      <c r="A43" s="29" t="str">
        <f>IFERROR(__xludf.DUMMYFUNCTION("""COMPUTED_VALUE"""),"iPhone 14 Pro 128G")</f>
        <v>iPhone 14 Pro 128G</v>
      </c>
      <c r="B43" s="30">
        <f>IFERROR(__xludf.DUMMYFUNCTION("""COMPUTED_VALUE"""),517.63241222106)</f>
        <v>517.63241222106</v>
      </c>
      <c r="C43" s="30">
        <f>IFERROR(__xludf.DUMMYFUNCTION("""COMPUTED_VALUE"""),501.620120467224)</f>
        <v>501.620120467224</v>
      </c>
      <c r="D43" s="28" t="s">
        <v>32</v>
      </c>
    </row>
    <row r="44" customHeight="1" spans="1:4">
      <c r="A44" s="29" t="str">
        <f>IFERROR(__xludf.DUMMYFUNCTION("""COMPUTED_VALUE"""),"iPhone 14 Pro 256G")</f>
        <v>iPhone 14 Pro 256G</v>
      </c>
      <c r="B44" s="30">
        <f>IFERROR(__xludf.DUMMYFUNCTION("""COMPUTED_VALUE"""),570.018174908076)</f>
        <v>570.018174908076</v>
      </c>
      <c r="C44" s="30">
        <f>IFERROR(__xludf.DUMMYFUNCTION("""COMPUTED_VALUE"""),553.512813955454)</f>
        <v>553.512813955454</v>
      </c>
      <c r="D44" s="28" t="s">
        <v>32</v>
      </c>
    </row>
    <row r="45" customHeight="1" spans="1:4">
      <c r="A45" s="29" t="str">
        <f>IFERROR(__xludf.DUMMYFUNCTION("""COMPUTED_VALUE"""),"iPhone 14 Pro 512G")</f>
        <v>iPhone 14 Pro 512G</v>
      </c>
      <c r="B45" s="30">
        <f>IFERROR(__xludf.DUMMYFUNCTION("""COMPUTED_VALUE"""),595.791432357043)</f>
        <v>595.791432357043</v>
      </c>
      <c r="C45" s="30">
        <f>IFERROR(__xludf.DUMMYFUNCTION("""COMPUTED_VALUE"""),579.156166434216)</f>
        <v>579.156166434216</v>
      </c>
      <c r="D45" s="28" t="s">
        <v>32</v>
      </c>
    </row>
    <row r="46" customHeight="1" spans="1:4">
      <c r="A46" s="29" t="str">
        <f>IFERROR(__xludf.DUMMYFUNCTION("""COMPUTED_VALUE"""),"iPhone 14 Pro 1T")</f>
        <v>iPhone 14 Pro 1T</v>
      </c>
      <c r="B46" s="30">
        <f>IFERROR(__xludf.DUMMYFUNCTION("""COMPUTED_VALUE"""),634.505900104602)</f>
        <v>634.505900104602</v>
      </c>
      <c r="C46" s="30">
        <f>IFERROR(__xludf.DUMMYFUNCTION("""COMPUTED_VALUE"""),617.704072873082)</f>
        <v>617.704072873082</v>
      </c>
      <c r="D46" s="28" t="s">
        <v>32</v>
      </c>
    </row>
    <row r="47" customHeight="1" spans="1:4">
      <c r="A47" s="29" t="str">
        <f>IFERROR(__xludf.DUMMYFUNCTION("""COMPUTED_VALUE"""),"iPhone 14 Pro Max 128G")</f>
        <v>iPhone 14 Pro Max 128G</v>
      </c>
      <c r="B47" s="30">
        <f>IFERROR(__xludf.DUMMYFUNCTION("""COMPUTED_VALUE"""),596.551152301255)</f>
        <v>596.551152301255</v>
      </c>
      <c r="C47" s="30">
        <f>IFERROR(__xludf.DUMMYFUNCTION("""COMPUTED_VALUE"""),579.662646397024)</f>
        <v>579.662646397024</v>
      </c>
      <c r="D47" s="28" t="s">
        <v>32</v>
      </c>
    </row>
    <row r="48" customHeight="1" spans="1:4">
      <c r="A48" s="29" t="str">
        <f>IFERROR(__xludf.DUMMYFUNCTION("""COMPUTED_VALUE"""),"iPhone 14 Pro Max 256G")</f>
        <v>iPhone 14 Pro Max 256G</v>
      </c>
      <c r="B48" s="30">
        <f>IFERROR(__xludf.DUMMYFUNCTION("""COMPUTED_VALUE"""),648.908946747812)</f>
        <v>648.908946747812</v>
      </c>
      <c r="C48" s="30">
        <f>IFERROR(__xludf.DUMMYFUNCTION("""COMPUTED_VALUE"""),631.583184396263)</f>
        <v>631.583184396263</v>
      </c>
      <c r="D48" s="28" t="s">
        <v>32</v>
      </c>
    </row>
    <row r="49" customHeight="1" spans="1:4">
      <c r="A49" s="29" t="str">
        <f>IFERROR(__xludf.DUMMYFUNCTION("""COMPUTED_VALUE"""),"iPhone 14 Pro Max 512G")</f>
        <v>iPhone 14 Pro Max 512G</v>
      </c>
      <c r="B49" s="30">
        <f>IFERROR(__xludf.DUMMYFUNCTION("""COMPUTED_VALUE"""),682.05570246397)</f>
        <v>682.05570246397</v>
      </c>
      <c r="C49" s="30">
        <f>IFERROR(__xludf.DUMMYFUNCTION("""COMPUTED_VALUE"""),664.466702618936)</f>
        <v>664.466702618936</v>
      </c>
      <c r="D49" s="28" t="s">
        <v>32</v>
      </c>
    </row>
    <row r="50" customHeight="1" spans="1:4">
      <c r="A50" s="29" t="str">
        <f>IFERROR(__xludf.DUMMYFUNCTION("""COMPUTED_VALUE"""),"iPhone 14 Pro Max 1T")</f>
        <v>iPhone 14 Pro Max 1T</v>
      </c>
      <c r="B50" s="30">
        <f>IFERROR(__xludf.DUMMYFUNCTION("""COMPUTED_VALUE"""),713.92830334728)</f>
        <v>713.92830334728</v>
      </c>
      <c r="C50" s="30">
        <f>IFERROR(__xludf.DUMMYFUNCTION("""COMPUTED_VALUE"""),696.128864249186)</f>
        <v>696.128864249186</v>
      </c>
      <c r="D50" s="28" t="s">
        <v>32</v>
      </c>
    </row>
    <row r="51" customHeight="1" spans="1:4">
      <c r="A51" s="29" t="str">
        <f>IFERROR(__xludf.DUMMYFUNCTION("""COMPUTED_VALUE"""),"iPhone 15 128G")</f>
        <v>iPhone 15 128G</v>
      </c>
      <c r="B51" s="30">
        <f>IFERROR(__xludf.DUMMYFUNCTION("""COMPUTED_VALUE"""),475.09240585774)</f>
        <v>475.09240585774</v>
      </c>
      <c r="C51" s="30">
        <f>IFERROR(__xludf.DUMMYFUNCTION("""COMPUTED_VALUE"""),459.35960483496)</f>
        <v>459.35960483496</v>
      </c>
      <c r="D51" s="28" t="s">
        <v>32</v>
      </c>
    </row>
    <row r="52" customHeight="1" spans="1:4">
      <c r="A52" s="29" t="str">
        <f>IFERROR(__xludf.DUMMYFUNCTION("""COMPUTED_VALUE"""),"iPhone 15 256G")</f>
        <v>iPhone 15 256G</v>
      </c>
      <c r="B52" s="30">
        <f>IFERROR(__xludf.DUMMYFUNCTION("""COMPUTED_VALUE"""),501.409048814504)</f>
        <v>501.409048814504</v>
      </c>
      <c r="C52" s="30">
        <f>IFERROR(__xludf.DUMMYFUNCTION("""COMPUTED_VALUE"""),485.365214318921)</f>
        <v>485.365214318921</v>
      </c>
      <c r="D52" s="28" t="s">
        <v>32</v>
      </c>
    </row>
    <row r="53" customHeight="1" spans="1:4">
      <c r="A53" s="29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28" t="s">
        <v>32</v>
      </c>
    </row>
    <row r="54" customHeight="1" spans="1:4">
      <c r="A54" s="29" t="str">
        <f>IFERROR(__xludf.DUMMYFUNCTION("""COMPUTED_VALUE"""),"iPhone 15 Plus 128G")</f>
        <v>iPhone 15 Plus 128G</v>
      </c>
      <c r="B54" s="30" t="str">
        <f>IFERROR(__xludf.DUMMYFUNCTION("""COMPUTED_VALUE"""),"")</f>
        <v/>
      </c>
      <c r="C54" s="30" t="str">
        <f>IFERROR(__xludf.DUMMYFUNCTION("""COMPUTED_VALUE"""),"")</f>
        <v/>
      </c>
      <c r="D54" s="28" t="s">
        <v>32</v>
      </c>
    </row>
    <row r="55" customHeight="1" spans="1:4">
      <c r="A55" s="29" t="str">
        <f>IFERROR(__xludf.DUMMYFUNCTION("""COMPUTED_VALUE"""),"iPhone 15 Plus 256G")</f>
        <v>iPhone 15 Plus 256G</v>
      </c>
      <c r="B55" s="30" t="str">
        <f>IFERROR(__xludf.DUMMYFUNCTION("""COMPUTED_VALUE"""),"")</f>
        <v/>
      </c>
      <c r="C55" s="30" t="str">
        <f>IFERROR(__xludf.DUMMYFUNCTION("""COMPUTED_VALUE"""),"")</f>
        <v/>
      </c>
      <c r="D55" s="28" t="s">
        <v>32</v>
      </c>
    </row>
    <row r="56" customHeight="1" spans="1:4">
      <c r="A56" s="29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28" t="s">
        <v>32</v>
      </c>
    </row>
    <row r="57" customHeight="1" spans="1:4">
      <c r="A57" s="29" t="str">
        <f>IFERROR(__xludf.DUMMYFUNCTION("""COMPUTED_VALUE"""),"iPhone 15 Pro 128G")</f>
        <v>iPhone 15 Pro 128G</v>
      </c>
      <c r="B57" s="30">
        <f>IFERROR(__xludf.DUMMYFUNCTION("""COMPUTED_VALUE"""),670.347908432571)</f>
        <v>670.347908432571</v>
      </c>
      <c r="C57" s="30">
        <f>IFERROR(__xludf.DUMMYFUNCTION("""COMPUTED_VALUE"""),652.756346207488)</f>
        <v>652.756346207488</v>
      </c>
      <c r="D57" s="28" t="s">
        <v>32</v>
      </c>
    </row>
    <row r="58" customHeight="1" spans="1:4">
      <c r="A58" s="29" t="str">
        <f>IFERROR(__xludf.DUMMYFUNCTION("""COMPUTED_VALUE"""),"iPhone 15 Pro 256G")</f>
        <v>iPhone 15 Pro 256G</v>
      </c>
      <c r="B58" s="30">
        <f>IFERROR(__xludf.DUMMYFUNCTION("""COMPUTED_VALUE"""),722.196555289898)</f>
        <v>722.196555289898</v>
      </c>
      <c r="C58" s="30">
        <f>IFERROR(__xludf.DUMMYFUNCTION("""COMPUTED_VALUE"""),704.290962475924)</f>
        <v>704.290962475924</v>
      </c>
      <c r="D58" s="28" t="s">
        <v>32</v>
      </c>
    </row>
    <row r="59" customHeight="1" spans="1:4">
      <c r="A59" s="29" t="str">
        <f>IFERROR(__xludf.DUMMYFUNCTION("""COMPUTED_VALUE"""),"iPhone 15 Pro 512G")</f>
        <v>iPhone 15 Pro 512G</v>
      </c>
      <c r="B59" s="30" t="str">
        <f>IFERROR(__xludf.DUMMYFUNCTION("""COMPUTED_VALUE"""),"")</f>
        <v/>
      </c>
      <c r="C59" s="30" t="str">
        <f>IFERROR(__xludf.DUMMYFUNCTION("""COMPUTED_VALUE"""),"")</f>
        <v/>
      </c>
      <c r="D59" s="28" t="s">
        <v>32</v>
      </c>
    </row>
    <row r="60" customHeight="1" spans="1:4">
      <c r="A60" s="29" t="str">
        <f>IFERROR(__xludf.DUMMYFUNCTION("""COMPUTED_VALUE"""),"iPhone 15 Pro 1T")</f>
        <v>iPhone 15 Pro 1T</v>
      </c>
      <c r="B60" s="30">
        <f>IFERROR(__xludf.DUMMYFUNCTION("""COMPUTED_VALUE"""),812.125451464435)</f>
        <v>812.125451464435</v>
      </c>
      <c r="C60" s="30">
        <f>IFERROR(__xludf.DUMMYFUNCTION("""COMPUTED_VALUE"""),793.439282845188)</f>
        <v>793.439282845188</v>
      </c>
      <c r="D60" s="28" t="s">
        <v>32</v>
      </c>
    </row>
    <row r="61" customHeight="1" spans="1:4">
      <c r="A61" s="29" t="str">
        <f>IFERROR(__xludf.DUMMYFUNCTION("""COMPUTED_VALUE"""),"iPhone 15 Pro Max 256G")</f>
        <v>iPhone 15 Pro Max 256G</v>
      </c>
      <c r="B61" s="30">
        <f>IFERROR(__xludf.DUMMYFUNCTION("""COMPUTED_VALUE"""),869.55260390516)</f>
        <v>869.55260390516</v>
      </c>
      <c r="C61" s="30">
        <f>IFERROR(__xludf.DUMMYFUNCTION("""COMPUTED_VALUE"""),850.515311018131)</f>
        <v>850.515311018131</v>
      </c>
      <c r="D61" s="28" t="s">
        <v>32</v>
      </c>
    </row>
    <row r="62" customHeight="1" spans="1:4">
      <c r="A62" s="29" t="str">
        <f>IFERROR(__xludf.DUMMYFUNCTION("""COMPUTED_VALUE"""),"iPhone 15 Pro Max 512G")</f>
        <v>iPhone 15 Pro Max 512G</v>
      </c>
      <c r="B62" s="30">
        <f>IFERROR(__xludf.DUMMYFUNCTION("""COMPUTED_VALUE"""),891.037638772664)</f>
        <v>891.037638772664</v>
      </c>
      <c r="C62" s="30">
        <f>IFERROR(__xludf.DUMMYFUNCTION("""COMPUTED_VALUE"""),871.802870292887)</f>
        <v>871.802870292887</v>
      </c>
      <c r="D62" s="28" t="s">
        <v>32</v>
      </c>
    </row>
    <row r="63" customHeight="1" spans="1:4">
      <c r="A63" s="29" t="str">
        <f>IFERROR(__xludf.DUMMYFUNCTION("""COMPUTED_VALUE"""),"iPhone 15 Pro Max 1T")</f>
        <v>iPhone 15 Pro Max 1T</v>
      </c>
      <c r="B63" s="30">
        <f>IFERROR(__xludf.DUMMYFUNCTION("""COMPUTED_VALUE"""),917.727490237099)</f>
        <v>917.727490237099</v>
      </c>
      <c r="C63" s="30">
        <f>IFERROR(__xludf.DUMMYFUNCTION("""COMPUTED_VALUE"""),898.196755462575)</f>
        <v>898.196755462575</v>
      </c>
      <c r="D63" s="28" t="s">
        <v>32</v>
      </c>
    </row>
    <row r="64" customHeight="1" spans="1:4">
      <c r="A64" s="29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 t="str">
        <f>IFERROR(__xludf.DUMMYFUNCTION("""COMPUTED_VALUE"""),"")</f>
        <v/>
      </c>
      <c r="D64" s="28" t="s">
        <v>32</v>
      </c>
    </row>
    <row r="65" customHeight="1" spans="1:4">
      <c r="A65" s="29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 t="str">
        <f>IFERROR(__xludf.DUMMYFUNCTION("""COMPUTED_VALUE"""),"")</f>
        <v/>
      </c>
      <c r="D65" s="28" t="s">
        <v>32</v>
      </c>
    </row>
    <row r="66" customHeight="1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8" t="s">
        <v>32</v>
      </c>
    </row>
    <row r="67" customHeight="1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8" t="s">
        <v>32</v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  <row r="1001" customHeight="1" spans="1:4">
      <c r="A1001" s="27"/>
      <c r="B1001" s="28"/>
      <c r="C1001" s="28"/>
      <c r="D1001" s="28"/>
    </row>
    <row r="1002" customHeight="1" spans="1:4">
      <c r="A1002" s="27"/>
      <c r="B1002" s="28"/>
      <c r="C1002" s="28"/>
      <c r="D1002" s="28"/>
    </row>
    <row r="1003" customHeight="1" spans="1:4">
      <c r="A1003" s="27"/>
      <c r="B1003" s="28"/>
      <c r="C1003" s="28"/>
      <c r="D1003" s="28"/>
    </row>
    <row r="1004" customHeight="1" spans="1:4">
      <c r="A1004" s="27"/>
      <c r="B1004" s="28"/>
      <c r="C1004" s="28"/>
      <c r="D1004" s="28"/>
    </row>
    <row r="1005" customHeight="1" spans="1:4">
      <c r="A1005" s="27"/>
      <c r="B1005" s="28"/>
      <c r="C1005" s="28"/>
      <c r="D1005" s="28"/>
    </row>
    <row r="1006" customHeight="1" spans="1:4">
      <c r="A1006" s="27"/>
      <c r="B1006" s="28"/>
      <c r="C1006" s="28"/>
      <c r="D1006" s="28"/>
    </row>
    <row r="1007" customHeight="1" spans="1:4">
      <c r="A1007" s="27"/>
      <c r="B1007" s="28"/>
      <c r="C1007" s="28"/>
      <c r="D1007" s="28"/>
    </row>
    <row r="1008" customHeight="1" spans="1:4">
      <c r="A1008" s="27"/>
      <c r="B1008" s="28"/>
      <c r="C1008" s="28"/>
      <c r="D1008" s="28"/>
    </row>
    <row r="1009" customHeight="1" spans="1:4">
      <c r="A1009" s="27"/>
      <c r="B1009" s="28"/>
      <c r="C1009" s="28"/>
      <c r="D1009" s="28"/>
    </row>
    <row r="1010" customHeight="1" spans="1:4">
      <c r="A1010" s="27"/>
      <c r="B1010" s="28"/>
      <c r="C1010" s="28"/>
      <c r="D1010" s="28"/>
    </row>
    <row r="1011" customHeight="1" spans="1:4">
      <c r="A1011" s="27"/>
      <c r="B1011" s="28"/>
      <c r="C1011" s="28"/>
      <c r="D1011" s="28"/>
    </row>
    <row r="1012" customHeight="1" spans="1:4">
      <c r="A1012" s="27"/>
      <c r="B1012" s="28"/>
      <c r="C1012" s="28"/>
      <c r="D1012" s="28"/>
    </row>
    <row r="1013" customHeight="1" spans="1:4">
      <c r="A1013" s="27"/>
      <c r="B1013" s="28"/>
      <c r="C1013" s="28"/>
      <c r="D1013" s="28"/>
    </row>
    <row r="1014" customHeight="1" spans="1:4">
      <c r="A1014" s="27"/>
      <c r="B1014" s="28"/>
      <c r="C1014" s="28"/>
      <c r="D1014" s="28"/>
    </row>
    <row r="1015" customHeight="1" spans="1:4">
      <c r="A1015" s="27"/>
      <c r="B1015" s="28"/>
      <c r="C1015" s="28"/>
      <c r="D1015" s="28"/>
    </row>
    <row r="1016" customHeight="1" spans="1:4">
      <c r="A1016" s="27"/>
      <c r="B1016" s="28"/>
      <c r="C1016" s="28"/>
      <c r="D1016" s="28"/>
    </row>
    <row r="1017" customHeight="1" spans="1:4">
      <c r="A1017" s="27"/>
      <c r="B1017" s="28"/>
      <c r="C1017" s="28"/>
      <c r="D1017" s="28"/>
    </row>
    <row r="1018" customHeight="1" spans="1:4">
      <c r="A1018" s="27"/>
      <c r="B1018" s="28"/>
      <c r="C1018" s="28"/>
      <c r="D1018" s="28"/>
    </row>
    <row r="1019" customHeight="1" spans="1:4">
      <c r="A1019" s="27"/>
      <c r="B1019" s="28"/>
      <c r="C1019" s="28"/>
      <c r="D1019" s="28"/>
    </row>
    <row r="1020" customHeight="1" spans="1:4">
      <c r="A1020" s="27"/>
      <c r="B1020" s="28"/>
      <c r="C1020" s="28"/>
      <c r="D1020" s="28"/>
    </row>
    <row r="1021" customHeight="1" spans="1:4">
      <c r="A1021" s="27"/>
      <c r="B1021" s="28"/>
      <c r="C1021" s="28"/>
      <c r="D1021" s="28"/>
    </row>
    <row r="1022" customHeight="1" spans="1:4">
      <c r="A1022" s="27"/>
      <c r="B1022" s="28"/>
      <c r="C1022" s="28"/>
      <c r="D1022" s="28"/>
    </row>
    <row r="1023" customHeight="1" spans="1:4">
      <c r="A1023" s="27"/>
      <c r="B1023" s="28"/>
      <c r="C1023" s="28"/>
      <c r="D1023" s="28"/>
    </row>
    <row r="1024" customHeight="1" spans="1:4">
      <c r="A1024" s="27"/>
      <c r="B1024" s="28"/>
      <c r="C1024" s="28"/>
      <c r="D1024" s="28"/>
    </row>
    <row r="1025" customHeight="1" spans="1:4">
      <c r="A1025" s="27"/>
      <c r="B1025" s="28"/>
      <c r="C1025" s="28"/>
      <c r="D1025" s="28"/>
    </row>
    <row r="1026" customHeight="1" spans="1:4">
      <c r="A1026" s="27"/>
      <c r="B1026" s="28"/>
      <c r="C1026" s="28"/>
      <c r="D1026" s="28"/>
    </row>
    <row r="1027" customHeight="1" spans="1:4">
      <c r="A1027" s="27"/>
      <c r="B1027" s="28"/>
      <c r="C1027" s="28"/>
      <c r="D1027" s="28"/>
    </row>
    <row r="1028" customHeight="1" spans="1:4">
      <c r="A1028" s="27"/>
      <c r="B1028" s="28"/>
      <c r="C1028" s="28"/>
      <c r="D1028" s="28"/>
    </row>
    <row r="1029" customHeight="1" spans="1:4">
      <c r="A1029" s="27"/>
      <c r="B1029" s="28"/>
      <c r="C1029" s="28"/>
      <c r="D1029" s="28"/>
    </row>
    <row r="1030" customHeight="1" spans="1:4">
      <c r="A1030" s="27"/>
      <c r="B1030" s="28"/>
      <c r="C1030" s="28"/>
      <c r="D1030" s="28"/>
    </row>
    <row r="1031" customHeight="1" spans="1:4">
      <c r="A1031" s="27"/>
      <c r="B1031" s="28"/>
      <c r="C1031" s="28"/>
      <c r="D1031" s="28"/>
    </row>
    <row r="1032" customHeight="1" spans="1:4">
      <c r="A1032" s="27"/>
      <c r="B1032" s="28"/>
      <c r="C1032" s="28"/>
      <c r="D1032" s="28"/>
    </row>
    <row r="1033" customHeight="1" spans="1:4">
      <c r="A1033" s="27"/>
      <c r="B1033" s="28"/>
      <c r="C1033" s="28"/>
      <c r="D1033" s="28"/>
    </row>
    <row r="1034" customHeight="1" spans="1:4">
      <c r="A1034" s="27"/>
      <c r="B1034" s="28"/>
      <c r="C1034" s="28"/>
      <c r="D1034" s="28"/>
    </row>
    <row r="1035" customHeight="1" spans="1:4">
      <c r="A1035" s="27"/>
      <c r="B1035" s="28"/>
      <c r="C1035" s="28"/>
      <c r="D1035" s="28"/>
    </row>
    <row r="1036" customHeight="1" spans="1:4">
      <c r="A1036" s="27"/>
      <c r="B1036" s="28"/>
      <c r="C1036" s="28"/>
      <c r="D1036" s="28"/>
    </row>
    <row r="1037" customHeight="1" spans="1:4">
      <c r="A1037" s="27"/>
      <c r="B1037" s="28"/>
      <c r="C1037" s="28"/>
      <c r="D1037" s="28"/>
    </row>
    <row r="1038" customHeight="1" spans="1:4">
      <c r="A1038" s="27"/>
      <c r="B1038" s="28"/>
      <c r="C1038" s="28"/>
      <c r="D1038" s="28"/>
    </row>
    <row r="1039" customHeight="1" spans="1:4">
      <c r="A1039" s="27"/>
      <c r="B1039" s="28"/>
      <c r="C1039" s="28"/>
      <c r="D1039" s="28"/>
    </row>
    <row r="1040" customHeight="1" spans="1:4">
      <c r="A1040" s="27"/>
      <c r="B1040" s="28"/>
      <c r="C1040" s="28"/>
      <c r="D1040" s="28"/>
    </row>
    <row r="1041" customHeight="1" spans="1:4">
      <c r="A1041" s="27"/>
      <c r="B1041" s="28"/>
      <c r="C1041" s="28"/>
      <c r="D1041" s="28"/>
    </row>
    <row r="1042" customHeight="1" spans="1:4">
      <c r="A1042" s="27"/>
      <c r="B1042" s="28"/>
      <c r="C1042" s="28"/>
      <c r="D1042" s="28"/>
    </row>
    <row r="1043" customHeight="1" spans="1:4">
      <c r="A1043" s="27"/>
      <c r="B1043" s="28"/>
      <c r="C1043" s="28"/>
      <c r="D1043" s="28"/>
    </row>
    <row r="1044" customHeight="1" spans="1:4">
      <c r="A1044" s="27"/>
      <c r="B1044" s="28"/>
      <c r="C1044" s="28"/>
      <c r="D1044" s="28"/>
    </row>
    <row r="1045" customHeight="1" spans="1:4">
      <c r="A1045" s="27"/>
      <c r="B1045" s="28"/>
      <c r="C1045" s="28"/>
      <c r="D1045" s="28"/>
    </row>
    <row r="1046" customHeight="1" spans="1:4">
      <c r="A1046" s="27"/>
      <c r="B1046" s="28"/>
      <c r="C1046" s="28"/>
      <c r="D1046" s="28"/>
    </row>
    <row r="1047" customHeight="1" spans="1:4">
      <c r="A1047" s="27"/>
      <c r="B1047" s="28"/>
      <c r="C1047" s="28"/>
      <c r="D1047" s="28"/>
    </row>
    <row r="1048" customHeight="1" spans="1:4">
      <c r="A1048" s="27"/>
      <c r="B1048" s="28"/>
      <c r="C1048" s="28"/>
      <c r="D1048" s="28"/>
    </row>
    <row r="1049" customHeight="1" spans="1:4">
      <c r="A1049" s="27"/>
      <c r="B1049" s="28"/>
      <c r="C1049" s="28"/>
      <c r="D1049" s="28"/>
    </row>
    <row r="1050" customHeight="1" spans="1:4">
      <c r="A1050" s="27"/>
      <c r="B1050" s="28"/>
      <c r="C1050" s="28"/>
      <c r="D1050" s="28"/>
    </row>
    <row r="1051" customHeight="1" spans="1:4">
      <c r="A1051" s="27"/>
      <c r="B1051" s="28"/>
      <c r="C1051" s="28"/>
      <c r="D1051" s="28"/>
    </row>
    <row r="1052" customHeight="1" spans="1:4">
      <c r="A1052" s="27"/>
      <c r="B1052" s="28"/>
      <c r="C1052" s="28"/>
      <c r="D1052" s="28"/>
    </row>
    <row r="1053" customHeight="1" spans="1:4">
      <c r="A1053" s="27"/>
      <c r="B1053" s="28"/>
      <c r="C1053" s="28"/>
      <c r="D1053" s="28"/>
    </row>
    <row r="1054" customHeight="1" spans="1:4">
      <c r="A1054" s="27"/>
      <c r="B1054" s="28"/>
      <c r="C1054" s="28"/>
      <c r="D1054" s="28"/>
    </row>
    <row r="1055" customHeight="1" spans="1:4">
      <c r="A1055" s="27"/>
      <c r="B1055" s="28"/>
      <c r="C1055" s="28"/>
      <c r="D1055" s="28"/>
    </row>
    <row r="1056" customHeight="1" spans="1:4">
      <c r="A1056" s="27"/>
      <c r="B1056" s="28"/>
      <c r="C1056" s="28"/>
      <c r="D1056" s="28"/>
    </row>
    <row r="1057" customHeight="1" spans="1:4">
      <c r="A1057" s="27"/>
      <c r="B1057" s="28"/>
      <c r="C1057" s="28"/>
      <c r="D1057" s="28"/>
    </row>
    <row r="1058" customHeight="1" spans="1:4">
      <c r="A1058" s="27"/>
      <c r="B1058" s="28"/>
      <c r="C1058" s="28"/>
      <c r="D1058" s="28"/>
    </row>
    <row r="1059" customHeight="1" spans="1:4">
      <c r="A1059" s="27"/>
      <c r="B1059" s="28"/>
      <c r="C1059" s="28"/>
      <c r="D1059" s="28"/>
    </row>
    <row r="1060" customHeight="1" spans="1:4">
      <c r="A1060" s="27"/>
      <c r="B1060" s="28"/>
      <c r="C1060" s="28"/>
      <c r="D1060" s="28"/>
    </row>
    <row r="1061" customHeight="1" spans="1:4">
      <c r="A1061" s="27"/>
      <c r="B1061" s="28"/>
      <c r="C1061" s="28"/>
      <c r="D1061" s="28"/>
    </row>
    <row r="1062" customHeight="1" spans="1:4">
      <c r="A1062" s="27"/>
      <c r="B1062" s="28"/>
      <c r="C1062" s="28"/>
      <c r="D1062" s="28"/>
    </row>
    <row r="1063" customHeight="1" spans="1:4">
      <c r="A1063" s="27"/>
      <c r="B1063" s="28"/>
      <c r="C1063" s="28"/>
      <c r="D1063" s="28"/>
    </row>
    <row r="1064" customHeight="1" spans="1:4">
      <c r="A1064" s="27"/>
      <c r="B1064" s="28"/>
      <c r="C1064" s="28"/>
      <c r="D1064" s="28"/>
    </row>
    <row r="1065" customHeight="1" spans="1:4">
      <c r="A1065" s="27"/>
      <c r="B1065" s="28"/>
      <c r="C1065" s="28"/>
      <c r="D1065" s="28"/>
    </row>
    <row r="1066" customHeight="1" spans="1:4">
      <c r="A1066" s="27"/>
      <c r="B1066" s="28"/>
      <c r="C1066" s="28"/>
      <c r="D1066" s="28"/>
    </row>
    <row r="1067" customHeight="1" spans="1:4">
      <c r="A1067" s="27"/>
      <c r="B1067" s="28"/>
      <c r="C1067" s="28"/>
      <c r="D1067" s="28"/>
    </row>
    <row r="1068" customHeight="1" spans="1:4">
      <c r="A1068" s="27"/>
      <c r="B1068" s="28"/>
      <c r="C1068" s="28"/>
      <c r="D1068" s="28"/>
    </row>
    <row r="1069" customHeight="1" spans="1:4">
      <c r="A1069" s="27"/>
      <c r="B1069" s="28"/>
      <c r="C1069" s="28"/>
      <c r="D1069" s="28"/>
    </row>
    <row r="1070" customHeight="1" spans="1:4">
      <c r="A1070" s="27"/>
      <c r="B1070" s="28"/>
      <c r="C1070" s="28"/>
      <c r="D1070" s="28"/>
    </row>
    <row r="1071" customHeight="1" spans="1:4">
      <c r="A1071" s="27"/>
      <c r="B1071" s="28"/>
      <c r="C1071" s="28"/>
      <c r="D1071" s="28"/>
    </row>
    <row r="1072" customHeight="1" spans="1:4">
      <c r="A1072" s="27"/>
      <c r="B1072" s="28"/>
      <c r="C1072" s="28"/>
      <c r="D1072" s="28"/>
    </row>
    <row r="1073" customHeight="1" spans="1:4">
      <c r="A1073" s="27"/>
      <c r="B1073" s="28"/>
      <c r="C1073" s="28"/>
      <c r="D1073" s="28"/>
    </row>
    <row r="1074" customHeight="1" spans="1:4">
      <c r="A1074" s="27"/>
      <c r="B1074" s="28"/>
      <c r="C1074" s="28"/>
      <c r="D1074" s="28"/>
    </row>
    <row r="1075" customHeight="1" spans="1:4">
      <c r="A1075" s="27"/>
      <c r="B1075" s="28"/>
      <c r="C1075" s="28"/>
      <c r="D1075" s="28"/>
    </row>
    <row r="1076" customHeight="1" spans="1:4">
      <c r="A1076" s="27"/>
      <c r="B1076" s="28"/>
      <c r="C1076" s="28"/>
      <c r="D1076" s="28"/>
    </row>
    <row r="1077" customHeight="1" spans="1:4">
      <c r="A1077" s="27"/>
      <c r="B1077" s="28"/>
      <c r="C1077" s="28"/>
      <c r="D1077" s="28"/>
    </row>
    <row r="1078" customHeight="1" spans="1:4">
      <c r="A1078" s="27"/>
      <c r="B1078" s="28"/>
      <c r="C1078" s="28"/>
      <c r="D1078" s="28"/>
    </row>
    <row r="1079" customHeight="1" spans="1:4">
      <c r="A1079" s="27"/>
      <c r="B1079" s="28"/>
      <c r="C1079" s="28"/>
      <c r="D1079" s="28"/>
    </row>
    <row r="1080" customHeight="1" spans="1:4">
      <c r="A1080" s="27"/>
      <c r="B1080" s="28"/>
      <c r="C1080" s="28"/>
      <c r="D1080" s="28"/>
    </row>
    <row r="1081" customHeight="1" spans="1:4">
      <c r="A1081" s="27"/>
      <c r="B1081" s="28"/>
      <c r="C1081" s="28"/>
      <c r="D1081" s="28"/>
    </row>
    <row r="1082" customHeight="1" spans="1:4">
      <c r="A1082" s="27"/>
      <c r="B1082" s="28"/>
      <c r="C1082" s="28"/>
      <c r="D1082" s="28"/>
    </row>
    <row r="1083" customHeight="1" spans="1:4">
      <c r="A1083" s="27"/>
      <c r="B1083" s="28"/>
      <c r="C1083" s="28"/>
      <c r="D1083" s="28"/>
    </row>
    <row r="1084" customHeight="1" spans="1:4">
      <c r="A1084" s="27"/>
      <c r="B1084" s="28"/>
      <c r="C1084" s="28"/>
      <c r="D1084" s="28"/>
    </row>
    <row r="1085" customHeight="1" spans="1:4">
      <c r="A1085" s="27"/>
      <c r="B1085" s="28"/>
      <c r="C1085" s="28"/>
      <c r="D1085" s="28"/>
    </row>
    <row r="1086" customHeight="1" spans="1:4">
      <c r="A1086" s="27"/>
      <c r="B1086" s="28"/>
      <c r="C1086" s="28"/>
      <c r="D1086" s="28"/>
    </row>
    <row r="1087" customHeight="1" spans="1:4">
      <c r="A1087" s="27"/>
      <c r="B1087" s="28"/>
      <c r="C1087" s="28"/>
      <c r="D1087" s="28"/>
    </row>
    <row r="1088" customHeight="1" spans="1:4">
      <c r="A1088" s="27"/>
      <c r="B1088" s="28"/>
      <c r="C1088" s="28"/>
      <c r="D1088" s="28"/>
    </row>
    <row r="1089" customHeight="1" spans="1:4">
      <c r="A1089" s="27"/>
      <c r="B1089" s="28"/>
      <c r="C1089" s="28"/>
      <c r="D1089" s="28"/>
    </row>
    <row r="1090" customHeight="1" spans="1:4">
      <c r="A1090" s="27"/>
      <c r="B1090" s="28"/>
      <c r="C1090" s="28"/>
      <c r="D1090" s="28"/>
    </row>
    <row r="1091" customHeight="1" spans="1:4">
      <c r="A1091" s="27"/>
      <c r="B1091" s="28"/>
      <c r="C1091" s="28"/>
      <c r="D1091" s="28"/>
    </row>
    <row r="1092" customHeight="1" spans="1:4">
      <c r="A1092" s="27"/>
      <c r="B1092" s="28"/>
      <c r="C1092" s="28"/>
      <c r="D1092" s="28"/>
    </row>
    <row r="1093" customHeight="1" spans="1:4">
      <c r="A1093" s="27"/>
      <c r="B1093" s="28"/>
      <c r="C1093" s="28"/>
      <c r="D1093" s="28"/>
    </row>
    <row r="1094" customHeight="1" spans="1:4">
      <c r="A1094" s="27"/>
      <c r="B1094" s="28"/>
      <c r="C1094" s="28"/>
      <c r="D1094" s="28"/>
    </row>
    <row r="1095" customHeight="1" spans="1:4">
      <c r="A1095" s="27"/>
      <c r="B1095" s="28"/>
      <c r="C1095" s="28"/>
      <c r="D1095" s="28"/>
    </row>
    <row r="1096" customHeight="1" spans="1:4">
      <c r="A1096" s="27"/>
      <c r="B1096" s="28"/>
      <c r="C1096" s="28"/>
      <c r="D1096" s="28"/>
    </row>
    <row r="1097" customHeight="1" spans="1:4">
      <c r="A1097" s="27"/>
      <c r="B1097" s="28"/>
      <c r="C1097" s="28"/>
      <c r="D1097" s="28"/>
    </row>
    <row r="1098" customHeight="1" spans="1:4">
      <c r="A1098" s="27"/>
      <c r="B1098" s="28"/>
      <c r="C1098" s="28"/>
      <c r="D1098" s="28"/>
    </row>
    <row r="1099" customHeight="1" spans="1:4">
      <c r="A1099" s="27"/>
      <c r="B1099" s="28"/>
      <c r="C1099" s="28"/>
      <c r="D1099" s="28"/>
    </row>
    <row r="1100" customHeight="1" spans="1:4">
      <c r="A1100" s="27"/>
      <c r="B1100" s="28"/>
      <c r="C1100" s="28"/>
      <c r="D1100" s="28"/>
    </row>
    <row r="1101" customHeight="1" spans="1:4">
      <c r="A1101" s="27"/>
      <c r="B1101" s="28"/>
      <c r="C1101" s="28"/>
      <c r="D1101" s="28"/>
    </row>
    <row r="1102" customHeight="1" spans="1:4">
      <c r="A1102" s="27"/>
      <c r="B1102" s="28"/>
      <c r="C1102" s="28"/>
      <c r="D1102" s="28"/>
    </row>
    <row r="1103" customHeight="1" spans="1:4">
      <c r="A1103" s="27"/>
      <c r="B1103" s="28"/>
      <c r="C1103" s="28"/>
      <c r="D1103" s="28"/>
    </row>
    <row r="1104" customHeight="1" spans="1:4">
      <c r="A1104" s="27"/>
      <c r="B1104" s="28"/>
      <c r="C1104" s="28"/>
      <c r="D1104" s="28"/>
    </row>
    <row r="1105" customHeight="1" spans="1:4">
      <c r="A1105" s="27"/>
      <c r="B1105" s="28"/>
      <c r="C1105" s="28"/>
      <c r="D1105" s="28"/>
    </row>
    <row r="1106" customHeight="1" spans="1:4">
      <c r="A1106" s="27"/>
      <c r="B1106" s="28"/>
      <c r="C1106" s="28"/>
      <c r="D1106" s="28"/>
    </row>
    <row r="1107" customHeight="1" spans="1:4">
      <c r="A1107" s="27"/>
      <c r="B1107" s="28"/>
      <c r="C1107" s="28"/>
      <c r="D1107" s="28"/>
    </row>
    <row r="1108" customHeight="1" spans="1:4">
      <c r="A1108" s="27"/>
      <c r="B1108" s="28"/>
      <c r="C1108" s="28"/>
      <c r="D1108" s="28"/>
    </row>
    <row r="1109" customHeight="1" spans="1:4">
      <c r="A1109" s="27"/>
      <c r="B1109" s="28"/>
      <c r="C1109" s="28"/>
      <c r="D1109" s="28"/>
    </row>
    <row r="1110" customHeight="1" spans="1:4">
      <c r="A1110" s="27"/>
      <c r="B1110" s="28"/>
      <c r="C1110" s="28"/>
      <c r="D1110" s="28"/>
    </row>
    <row r="1111" customHeight="1" spans="1:4">
      <c r="A1111" s="27"/>
      <c r="B1111" s="28"/>
      <c r="C1111" s="28"/>
      <c r="D1111" s="28"/>
    </row>
    <row r="1112" customHeight="1" spans="1:4">
      <c r="A1112" s="27"/>
      <c r="B1112" s="28"/>
      <c r="C1112" s="28"/>
      <c r="D1112" s="28"/>
    </row>
    <row r="1113" customHeight="1" spans="1:4">
      <c r="A1113" s="27"/>
      <c r="B1113" s="28"/>
      <c r="C1113" s="28"/>
      <c r="D1113" s="28"/>
    </row>
    <row r="1114" customHeight="1" spans="1:4">
      <c r="A1114" s="27"/>
      <c r="B1114" s="28"/>
      <c r="C1114" s="28"/>
      <c r="D1114" s="28"/>
    </row>
    <row r="1115" customHeight="1" spans="1:4">
      <c r="A1115" s="27"/>
      <c r="B1115" s="28"/>
      <c r="C1115" s="28"/>
      <c r="D1115" s="28"/>
    </row>
    <row r="1116" customHeight="1" spans="1:4">
      <c r="A1116" s="27"/>
      <c r="B1116" s="28"/>
      <c r="C1116" s="28"/>
      <c r="D1116" s="28"/>
    </row>
    <row r="1117" customHeight="1" spans="1:4">
      <c r="A1117" s="27"/>
      <c r="B1117" s="28"/>
      <c r="C1117" s="28"/>
      <c r="D1117" s="28"/>
    </row>
    <row r="1118" customHeight="1" spans="1:4">
      <c r="A1118" s="27"/>
      <c r="B1118" s="28"/>
      <c r="C1118" s="28"/>
      <c r="D1118" s="28"/>
    </row>
    <row r="1119" customHeight="1" spans="1:4">
      <c r="A1119" s="27"/>
      <c r="B1119" s="28"/>
      <c r="C1119" s="28"/>
      <c r="D1119" s="28"/>
    </row>
    <row r="1120" customHeight="1" spans="1:4">
      <c r="A1120" s="27"/>
      <c r="B1120" s="28"/>
      <c r="C1120" s="28"/>
      <c r="D1120" s="28"/>
    </row>
    <row r="1121" customHeight="1" spans="1:4">
      <c r="A1121" s="27"/>
      <c r="B1121" s="28"/>
      <c r="C1121" s="28"/>
      <c r="D1121" s="28"/>
    </row>
    <row r="1122" customHeight="1" spans="1:4">
      <c r="A1122" s="27"/>
      <c r="B1122" s="28"/>
      <c r="C1122" s="28"/>
      <c r="D1122" s="28"/>
    </row>
    <row r="1123" customHeight="1" spans="1:4">
      <c r="A1123" s="27"/>
      <c r="B1123" s="28"/>
      <c r="C1123" s="28"/>
      <c r="D1123" s="28"/>
    </row>
    <row r="1124" customHeight="1" spans="1:4">
      <c r="A1124" s="27"/>
      <c r="B1124" s="28"/>
      <c r="C1124" s="28"/>
      <c r="D1124" s="28"/>
    </row>
    <row r="1125" customHeight="1" spans="1:4">
      <c r="A1125" s="27"/>
      <c r="B1125" s="28"/>
      <c r="C1125" s="28"/>
      <c r="D1125" s="28"/>
    </row>
    <row r="1126" customHeight="1" spans="1:4">
      <c r="A1126" s="27"/>
      <c r="B1126" s="28"/>
      <c r="C1126" s="28"/>
      <c r="D1126" s="28"/>
    </row>
    <row r="1127" customHeight="1" spans="1:4">
      <c r="A1127" s="27"/>
      <c r="B1127" s="28"/>
      <c r="C1127" s="28"/>
      <c r="D1127" s="28"/>
    </row>
    <row r="1128" customHeight="1" spans="1:4">
      <c r="A1128" s="27"/>
      <c r="B1128" s="28"/>
      <c r="C1128" s="28"/>
      <c r="D1128" s="28"/>
    </row>
    <row r="1129" customHeight="1" spans="1:4">
      <c r="A1129" s="27"/>
      <c r="B1129" s="28"/>
      <c r="C1129" s="28"/>
      <c r="D1129" s="28"/>
    </row>
    <row r="1130" customHeight="1" spans="1:4">
      <c r="A1130" s="27"/>
      <c r="B1130" s="28"/>
      <c r="C1130" s="28"/>
      <c r="D1130" s="28"/>
    </row>
    <row r="1131" customHeight="1" spans="1:4">
      <c r="A1131" s="27"/>
      <c r="B1131" s="28"/>
      <c r="C1131" s="28"/>
      <c r="D1131" s="28"/>
    </row>
    <row r="1132" customHeight="1" spans="1:4">
      <c r="A1132" s="27"/>
      <c r="B1132" s="28"/>
      <c r="C1132" s="28"/>
      <c r="D1132" s="28"/>
    </row>
    <row r="1133" customHeight="1" spans="1:4">
      <c r="A1133" s="27"/>
      <c r="B1133" s="28"/>
      <c r="C1133" s="28"/>
      <c r="D1133" s="28"/>
    </row>
    <row r="1134" customHeight="1" spans="1:4">
      <c r="A1134" s="27"/>
      <c r="B1134" s="28"/>
      <c r="C1134" s="28"/>
      <c r="D1134" s="28"/>
    </row>
    <row r="1135" customHeight="1" spans="1:4">
      <c r="A1135" s="27"/>
      <c r="B1135" s="28"/>
      <c r="C1135" s="28"/>
      <c r="D1135" s="28"/>
    </row>
    <row r="1136" customHeight="1" spans="1:4">
      <c r="A1136" s="27"/>
      <c r="B1136" s="28"/>
      <c r="C1136" s="28"/>
      <c r="D1136" s="28"/>
    </row>
    <row r="1137" customHeight="1" spans="1:4">
      <c r="A1137" s="27"/>
      <c r="B1137" s="28"/>
      <c r="C1137" s="28"/>
      <c r="D1137" s="28"/>
    </row>
    <row r="1138" customHeight="1" spans="1:4">
      <c r="A1138" s="27"/>
      <c r="B1138" s="28"/>
      <c r="C1138" s="28"/>
      <c r="D1138" s="28"/>
    </row>
    <row r="1139" customHeight="1" spans="1:4">
      <c r="A1139" s="27"/>
      <c r="B1139" s="28"/>
      <c r="C1139" s="28"/>
      <c r="D1139" s="28"/>
    </row>
    <row r="1140" customHeight="1" spans="1:4">
      <c r="A1140" s="27"/>
      <c r="B1140" s="28"/>
      <c r="C1140" s="28"/>
      <c r="D1140" s="28"/>
    </row>
    <row r="1141" customHeight="1" spans="1:4">
      <c r="A1141" s="27"/>
      <c r="B1141" s="28"/>
      <c r="C1141" s="28"/>
      <c r="D1141" s="28"/>
    </row>
    <row r="1142" customHeight="1" spans="1:4">
      <c r="A1142" s="27"/>
      <c r="B1142" s="28"/>
      <c r="C1142" s="28"/>
      <c r="D1142" s="28"/>
    </row>
    <row r="1143" customHeight="1" spans="1:4">
      <c r="A1143" s="27"/>
      <c r="B1143" s="28"/>
      <c r="C1143" s="28"/>
      <c r="D1143" s="28"/>
    </row>
    <row r="1144" customHeight="1" spans="1:4">
      <c r="A1144" s="27"/>
      <c r="B1144" s="28"/>
      <c r="C1144" s="28"/>
      <c r="D1144" s="28"/>
    </row>
    <row r="1145" customHeight="1" spans="1:4">
      <c r="A1145" s="27"/>
      <c r="B1145" s="28"/>
      <c r="C1145" s="28"/>
      <c r="D1145" s="28"/>
    </row>
    <row r="1146" customHeight="1" spans="1:4">
      <c r="A1146" s="27"/>
      <c r="B1146" s="28"/>
      <c r="C1146" s="28"/>
      <c r="D1146" s="28"/>
    </row>
    <row r="1147" customHeight="1" spans="1:4">
      <c r="A1147" s="27"/>
      <c r="B1147" s="28"/>
      <c r="C1147" s="28"/>
      <c r="D1147" s="28"/>
    </row>
    <row r="1148" customHeight="1" spans="1:4">
      <c r="A1148" s="27"/>
      <c r="B1148" s="28"/>
      <c r="C1148" s="28"/>
      <c r="D1148" s="28"/>
    </row>
    <row r="1149" customHeight="1" spans="1:4">
      <c r="A1149" s="27"/>
      <c r="B1149" s="28"/>
      <c r="C1149" s="28"/>
      <c r="D1149" s="28"/>
    </row>
    <row r="1150" customHeight="1" spans="1:4">
      <c r="A1150" s="27"/>
      <c r="B1150" s="28"/>
      <c r="C1150" s="28"/>
      <c r="D1150" s="28"/>
    </row>
    <row r="1151" customHeight="1" spans="1:4">
      <c r="A1151" s="27"/>
      <c r="B1151" s="28"/>
      <c r="C1151" s="28"/>
      <c r="D1151" s="28"/>
    </row>
    <row r="1152" customHeight="1" spans="1:4">
      <c r="A1152" s="27"/>
      <c r="B1152" s="28"/>
      <c r="C1152" s="28"/>
      <c r="D1152" s="28"/>
    </row>
    <row r="1153" customHeight="1" spans="1:4">
      <c r="A1153" s="27"/>
      <c r="B1153" s="28"/>
      <c r="C1153" s="28"/>
      <c r="D1153" s="28"/>
    </row>
    <row r="1154" customHeight="1" spans="1:4">
      <c r="A1154" s="27"/>
      <c r="B1154" s="28"/>
      <c r="C1154" s="28"/>
      <c r="D1154" s="28"/>
    </row>
    <row r="1155" customHeight="1" spans="1:4">
      <c r="A1155" s="27"/>
      <c r="B1155" s="28"/>
      <c r="C1155" s="28"/>
      <c r="D1155" s="28"/>
    </row>
    <row r="1156" customHeight="1" spans="1:4">
      <c r="A1156" s="27"/>
      <c r="B1156" s="28"/>
      <c r="C1156" s="28"/>
      <c r="D1156" s="28"/>
    </row>
    <row r="1157" customHeight="1" spans="1:4">
      <c r="A1157" s="27"/>
      <c r="B1157" s="28"/>
      <c r="C1157" s="28"/>
      <c r="D1157" s="28"/>
    </row>
    <row r="1158" customHeight="1" spans="1:4">
      <c r="A1158" s="27"/>
      <c r="B1158" s="28"/>
      <c r="C1158" s="28"/>
      <c r="D1158" s="28"/>
    </row>
    <row r="1159" customHeight="1" spans="1:4">
      <c r="A1159" s="27"/>
      <c r="B1159" s="28"/>
      <c r="C1159" s="28"/>
      <c r="D1159" s="28"/>
    </row>
    <row r="1160" customHeight="1" spans="1:4">
      <c r="A1160" s="27"/>
      <c r="B1160" s="28"/>
      <c r="C1160" s="28"/>
      <c r="D1160" s="28"/>
    </row>
    <row r="1161" customHeight="1" spans="1:4">
      <c r="A1161" s="27"/>
      <c r="B1161" s="28"/>
      <c r="C1161" s="28"/>
      <c r="D1161" s="28"/>
    </row>
    <row r="1162" customHeight="1" spans="1:4">
      <c r="A1162" s="27"/>
      <c r="B1162" s="28"/>
      <c r="C1162" s="28"/>
      <c r="D1162" s="28"/>
    </row>
    <row r="1163" customHeight="1" spans="1:4">
      <c r="A1163" s="27"/>
      <c r="B1163" s="28"/>
      <c r="C1163" s="28"/>
      <c r="D1163" s="28"/>
    </row>
    <row r="1164" customHeight="1" spans="1:4">
      <c r="A1164" s="27"/>
      <c r="B1164" s="28"/>
      <c r="C1164" s="28"/>
      <c r="D1164" s="28"/>
    </row>
    <row r="1165" customHeight="1" spans="1:4">
      <c r="A1165" s="27"/>
      <c r="B1165" s="28"/>
      <c r="C1165" s="28"/>
      <c r="D1165" s="28"/>
    </row>
    <row r="1166" customHeight="1" spans="1:4">
      <c r="A1166" s="27"/>
      <c r="B1166" s="28"/>
      <c r="C1166" s="28"/>
      <c r="D1166" s="28"/>
    </row>
    <row r="1167" customHeight="1" spans="1:4">
      <c r="A1167" s="27"/>
      <c r="B1167" s="28"/>
      <c r="C1167" s="28"/>
      <c r="D1167" s="28"/>
    </row>
    <row r="1168" customHeight="1" spans="1:4">
      <c r="A1168" s="27"/>
      <c r="B1168" s="28"/>
      <c r="C1168" s="28"/>
      <c r="D1168" s="28"/>
    </row>
    <row r="1169" customHeight="1" spans="1:4">
      <c r="A1169" s="27"/>
      <c r="B1169" s="28"/>
      <c r="C1169" s="28"/>
      <c r="D1169" s="28"/>
    </row>
    <row r="1170" customHeight="1" spans="1:4">
      <c r="A1170" s="27"/>
      <c r="B1170" s="28"/>
      <c r="C1170" s="28"/>
      <c r="D1170" s="28"/>
    </row>
    <row r="1171" customHeight="1" spans="1:4">
      <c r="A1171" s="27"/>
      <c r="B1171" s="28"/>
      <c r="C1171" s="28"/>
      <c r="D1171" s="28"/>
    </row>
    <row r="1172" customHeight="1" spans="1:4">
      <c r="A1172" s="27"/>
      <c r="B1172" s="28"/>
      <c r="C1172" s="28"/>
      <c r="D1172" s="28"/>
    </row>
    <row r="1173" customHeight="1" spans="1:4">
      <c r="A1173" s="27"/>
      <c r="B1173" s="28"/>
      <c r="C1173" s="28"/>
      <c r="D1173" s="28"/>
    </row>
    <row r="1174" customHeight="1" spans="1:4">
      <c r="A1174" s="27"/>
      <c r="B1174" s="28"/>
      <c r="C1174" s="28"/>
      <c r="D1174" s="28"/>
    </row>
    <row r="1175" customHeight="1" spans="1:4">
      <c r="A1175" s="27"/>
      <c r="B1175" s="28"/>
      <c r="C1175" s="28"/>
      <c r="D1175" s="28"/>
    </row>
    <row r="1176" customHeight="1" spans="1:4">
      <c r="A1176" s="27"/>
      <c r="B1176" s="28"/>
      <c r="C1176" s="28"/>
      <c r="D1176" s="28"/>
    </row>
    <row r="1177" customHeight="1" spans="1:4">
      <c r="A1177" s="27"/>
      <c r="B1177" s="28"/>
      <c r="C1177" s="28"/>
      <c r="D1177" s="28"/>
    </row>
    <row r="1178" customHeight="1" spans="1:4">
      <c r="A1178" s="27"/>
      <c r="B1178" s="28"/>
      <c r="C1178" s="28"/>
      <c r="D1178" s="28"/>
    </row>
    <row r="1179" customHeight="1" spans="1:4">
      <c r="A1179" s="27"/>
      <c r="B1179" s="28"/>
      <c r="C1179" s="28"/>
      <c r="D1179" s="28"/>
    </row>
    <row r="1180" customHeight="1" spans="1:4">
      <c r="A1180" s="27"/>
      <c r="B1180" s="28"/>
      <c r="C1180" s="28"/>
      <c r="D1180" s="28"/>
    </row>
    <row r="1181" customHeight="1" spans="1:4">
      <c r="A1181" s="27"/>
      <c r="B1181" s="28"/>
      <c r="C1181" s="28"/>
      <c r="D1181" s="28"/>
    </row>
    <row r="1182" customHeight="1" spans="1:4">
      <c r="A1182" s="27"/>
      <c r="B1182" s="28"/>
      <c r="C1182" s="28"/>
      <c r="D1182" s="28"/>
    </row>
    <row r="1183" customHeight="1" spans="1:4">
      <c r="A1183" s="27"/>
      <c r="B1183" s="28"/>
      <c r="C1183" s="28"/>
      <c r="D1183" s="28"/>
    </row>
    <row r="1184" customHeight="1" spans="1:4">
      <c r="A1184" s="27"/>
      <c r="B1184" s="28"/>
      <c r="C1184" s="28"/>
      <c r="D1184" s="28"/>
    </row>
    <row r="1185" customHeight="1" spans="1:4">
      <c r="A1185" s="27"/>
      <c r="B1185" s="28"/>
      <c r="C1185" s="28"/>
      <c r="D1185" s="28"/>
    </row>
    <row r="1186" customHeight="1" spans="1:4">
      <c r="A1186" s="27"/>
      <c r="B1186" s="28"/>
      <c r="C1186" s="28"/>
      <c r="D1186" s="28"/>
    </row>
    <row r="1187" customHeight="1" spans="1:4">
      <c r="A1187" s="27"/>
      <c r="B1187" s="28"/>
      <c r="C1187" s="28"/>
      <c r="D1187" s="28"/>
    </row>
    <row r="1188" customHeight="1" spans="1:4">
      <c r="A1188" s="27"/>
      <c r="B1188" s="28"/>
      <c r="C1188" s="28"/>
      <c r="D1188" s="28"/>
    </row>
    <row r="1189" customHeight="1" spans="1:4">
      <c r="A1189" s="27"/>
      <c r="B1189" s="28"/>
      <c r="C1189" s="28"/>
      <c r="D1189" s="28"/>
    </row>
    <row r="1190" customHeight="1" spans="1:4">
      <c r="A1190" s="27"/>
      <c r="B1190" s="28"/>
      <c r="C1190" s="28"/>
      <c r="D1190" s="28"/>
    </row>
    <row r="1191" customHeight="1" spans="1:4">
      <c r="A1191" s="27"/>
      <c r="B1191" s="28"/>
      <c r="C1191" s="28"/>
      <c r="D1191" s="28"/>
    </row>
    <row r="1192" customHeight="1" spans="1:4">
      <c r="A1192" s="27"/>
      <c r="B1192" s="28"/>
      <c r="C1192" s="28"/>
      <c r="D1192" s="28"/>
    </row>
    <row r="1193" customHeight="1" spans="1:4">
      <c r="A1193" s="27"/>
      <c r="B1193" s="28"/>
      <c r="C1193" s="28"/>
      <c r="D1193" s="28"/>
    </row>
    <row r="1194" customHeight="1" spans="1:4">
      <c r="A1194" s="27"/>
      <c r="B1194" s="28"/>
      <c r="C1194" s="28"/>
      <c r="D1194" s="28"/>
    </row>
    <row r="1195" customHeight="1" spans="1:4">
      <c r="A1195" s="27"/>
      <c r="B1195" s="28"/>
      <c r="C1195" s="28"/>
      <c r="D1195" s="28"/>
    </row>
    <row r="1196" customHeight="1" spans="1:4">
      <c r="A1196" s="27"/>
      <c r="B1196" s="28"/>
      <c r="C1196" s="28"/>
      <c r="D1196" s="28"/>
    </row>
    <row r="1197" customHeight="1" spans="1:4">
      <c r="A1197" s="27"/>
      <c r="B1197" s="28"/>
      <c r="C1197" s="28"/>
      <c r="D1197" s="28"/>
    </row>
    <row r="1198" customHeight="1" spans="1:4">
      <c r="A1198" s="27"/>
      <c r="B1198" s="28"/>
      <c r="C1198" s="28"/>
      <c r="D1198" s="28"/>
    </row>
    <row r="1199" customHeight="1" spans="1:4">
      <c r="A1199" s="27"/>
      <c r="B1199" s="28"/>
      <c r="C1199" s="28"/>
      <c r="D1199" s="28"/>
    </row>
    <row r="1200" customHeight="1" spans="1:4">
      <c r="A1200" s="27"/>
      <c r="B1200" s="28"/>
      <c r="C1200" s="28"/>
      <c r="D1200" s="28"/>
    </row>
    <row r="1201" customHeight="1" spans="1:4">
      <c r="A1201" s="27"/>
      <c r="B1201" s="28"/>
      <c r="C1201" s="28"/>
      <c r="D1201" s="28"/>
    </row>
    <row r="1202" customHeight="1" spans="1:4">
      <c r="A1202" s="27"/>
      <c r="B1202" s="28"/>
      <c r="C1202" s="28"/>
      <c r="D1202" s="28"/>
    </row>
    <row r="1203" customHeight="1" spans="1:4">
      <c r="A1203" s="27"/>
      <c r="B1203" s="28"/>
      <c r="C1203" s="28"/>
      <c r="D1203" s="28"/>
    </row>
    <row r="1204" customHeight="1" spans="1:4">
      <c r="A1204" s="27"/>
      <c r="B1204" s="28"/>
      <c r="C1204" s="28"/>
      <c r="D1204" s="28"/>
    </row>
    <row r="1205" customHeight="1" spans="1:4">
      <c r="A1205" s="27"/>
      <c r="B1205" s="28"/>
      <c r="C1205" s="28"/>
      <c r="D1205" s="28"/>
    </row>
    <row r="1206" customHeight="1" spans="1:4">
      <c r="A1206" s="27"/>
      <c r="B1206" s="28"/>
      <c r="C1206" s="28"/>
      <c r="D1206" s="28"/>
    </row>
    <row r="1207" customHeight="1" spans="1:4">
      <c r="A1207" s="27"/>
      <c r="B1207" s="28"/>
      <c r="C1207" s="28"/>
      <c r="D1207" s="28"/>
    </row>
    <row r="1208" customHeight="1" spans="1:4">
      <c r="A1208" s="27"/>
      <c r="B1208" s="28"/>
      <c r="C1208" s="28"/>
      <c r="D1208" s="28"/>
    </row>
    <row r="1209" customHeight="1" spans="1:4">
      <c r="A1209" s="27"/>
      <c r="B1209" s="28"/>
      <c r="C1209" s="28"/>
      <c r="D1209" s="28"/>
    </row>
    <row r="1210" customHeight="1" spans="1:4">
      <c r="A1210" s="27"/>
      <c r="B1210" s="28"/>
      <c r="C1210" s="28"/>
      <c r="D1210" s="28"/>
    </row>
    <row r="1211" customHeight="1" spans="1:4">
      <c r="A1211" s="27"/>
      <c r="B1211" s="28"/>
      <c r="C1211" s="28"/>
      <c r="D1211" s="28"/>
    </row>
    <row r="1212" customHeight="1" spans="1:4">
      <c r="A1212" s="27"/>
      <c r="B1212" s="28"/>
      <c r="C1212" s="28"/>
      <c r="D1212" s="28"/>
    </row>
    <row r="1213" customHeight="1" spans="1:4">
      <c r="A1213" s="27"/>
      <c r="B1213" s="28"/>
      <c r="C1213" s="28"/>
      <c r="D1213" s="28"/>
    </row>
    <row r="1214" customHeight="1" spans="1:4">
      <c r="A1214" s="27"/>
      <c r="B1214" s="28"/>
      <c r="C1214" s="28"/>
      <c r="D1214" s="28"/>
    </row>
    <row r="1215" customHeight="1" spans="1:4">
      <c r="A1215" s="27"/>
      <c r="B1215" s="28"/>
      <c r="C1215" s="28"/>
      <c r="D1215" s="28"/>
    </row>
    <row r="1216" customHeight="1" spans="1:4">
      <c r="A1216" s="27"/>
      <c r="B1216" s="28"/>
      <c r="C1216" s="28"/>
      <c r="D1216" s="28"/>
    </row>
    <row r="1217" customHeight="1" spans="1:4">
      <c r="A1217" s="27"/>
      <c r="B1217" s="28"/>
      <c r="C1217" s="28"/>
      <c r="D1217" s="28"/>
    </row>
    <row r="1218" customHeight="1" spans="1:4">
      <c r="A1218" s="27"/>
      <c r="B1218" s="28"/>
      <c r="C1218" s="28"/>
      <c r="D1218" s="28"/>
    </row>
    <row r="1219" customHeight="1" spans="1:4">
      <c r="A1219" s="27"/>
      <c r="B1219" s="28"/>
      <c r="C1219" s="28"/>
      <c r="D1219" s="28"/>
    </row>
    <row r="1220" customHeight="1" spans="1:4">
      <c r="A1220" s="27"/>
      <c r="B1220" s="28"/>
      <c r="C1220" s="28"/>
      <c r="D1220" s="28"/>
    </row>
    <row r="1221" customHeight="1" spans="1:4">
      <c r="A1221" s="27"/>
      <c r="B1221" s="28"/>
      <c r="C1221" s="28"/>
      <c r="D1221" s="28"/>
    </row>
    <row r="1222" customHeight="1" spans="1:4">
      <c r="A1222" s="27"/>
      <c r="B1222" s="28"/>
      <c r="C1222" s="28"/>
      <c r="D1222" s="28"/>
    </row>
    <row r="1223" customHeight="1" spans="1:4">
      <c r="A1223" s="27"/>
      <c r="B1223" s="28"/>
      <c r="C1223" s="28"/>
      <c r="D1223" s="28"/>
    </row>
    <row r="1224" customHeight="1" spans="1:4">
      <c r="A1224" s="27"/>
      <c r="B1224" s="28"/>
      <c r="C1224" s="28"/>
      <c r="D1224" s="28"/>
    </row>
    <row r="1225" customHeight="1" spans="1:4">
      <c r="A1225" s="27"/>
      <c r="B1225" s="28"/>
      <c r="C1225" s="28"/>
      <c r="D1225" s="28"/>
    </row>
    <row r="1226" customHeight="1" spans="1:4">
      <c r="A1226" s="27"/>
      <c r="B1226" s="28"/>
      <c r="C1226" s="28"/>
      <c r="D1226" s="28"/>
    </row>
    <row r="1227" customHeight="1" spans="1:4">
      <c r="A1227" s="27"/>
      <c r="B1227" s="28"/>
      <c r="C1227" s="28"/>
      <c r="D1227" s="28"/>
    </row>
    <row r="1228" customHeight="1" spans="1:4">
      <c r="A1228" s="27"/>
      <c r="B1228" s="28"/>
      <c r="C1228" s="28"/>
      <c r="D1228" s="28"/>
    </row>
    <row r="1229" customHeight="1" spans="1:4">
      <c r="A1229" s="27"/>
      <c r="B1229" s="28"/>
      <c r="C1229" s="28"/>
      <c r="D1229" s="28"/>
    </row>
    <row r="1230" customHeight="1" spans="1:4">
      <c r="A1230" s="27"/>
      <c r="B1230" s="28"/>
      <c r="C1230" s="28"/>
      <c r="D1230" s="28"/>
    </row>
    <row r="1231" customHeight="1" spans="1:4">
      <c r="A1231" s="27"/>
      <c r="B1231" s="28"/>
      <c r="C1231" s="28"/>
      <c r="D1231" s="28"/>
    </row>
    <row r="1232" customHeight="1" spans="1:4">
      <c r="A1232" s="27"/>
      <c r="B1232" s="28"/>
      <c r="C1232" s="28"/>
      <c r="D1232" s="28"/>
    </row>
    <row r="1233" customHeight="1" spans="1:4">
      <c r="A1233" s="27"/>
      <c r="B1233" s="28"/>
      <c r="C1233" s="28"/>
      <c r="D1233" s="28"/>
    </row>
    <row r="1234" customHeight="1" spans="1:4">
      <c r="A1234" s="27"/>
      <c r="B1234" s="28"/>
      <c r="C1234" s="28"/>
      <c r="D1234" s="28"/>
    </row>
    <row r="1235" customHeight="1" spans="1:4">
      <c r="A1235" s="27"/>
      <c r="B1235" s="28"/>
      <c r="C1235" s="28"/>
      <c r="D1235" s="28"/>
    </row>
    <row r="1236" customHeight="1" spans="1:4">
      <c r="A1236" s="27"/>
      <c r="B1236" s="28"/>
      <c r="C1236" s="28"/>
      <c r="D1236" s="28"/>
    </row>
    <row r="1237" customHeight="1" spans="1:4">
      <c r="A1237" s="27"/>
      <c r="B1237" s="28"/>
      <c r="C1237" s="28"/>
      <c r="D1237" s="28"/>
    </row>
    <row r="1238" customHeight="1" spans="1:4">
      <c r="A1238" s="27"/>
      <c r="B1238" s="28"/>
      <c r="C1238" s="28"/>
      <c r="D1238" s="28"/>
    </row>
    <row r="1239" customHeight="1" spans="1:4">
      <c r="A1239" s="27"/>
      <c r="B1239" s="28"/>
      <c r="C1239" s="28"/>
      <c r="D1239" s="28"/>
    </row>
    <row r="1240" customHeight="1" spans="1:4">
      <c r="A1240" s="27"/>
      <c r="B1240" s="28"/>
      <c r="C1240" s="28"/>
      <c r="D1240" s="28"/>
    </row>
    <row r="1241" customHeight="1" spans="1:4">
      <c r="A1241" s="27"/>
      <c r="B1241" s="28"/>
      <c r="C1241" s="28"/>
      <c r="D1241" s="28"/>
    </row>
    <row r="1242" customHeight="1" spans="1:4">
      <c r="A1242" s="27"/>
      <c r="B1242" s="28"/>
      <c r="C1242" s="28"/>
      <c r="D1242" s="28"/>
    </row>
    <row r="1243" customHeight="1" spans="1:4">
      <c r="A1243" s="27"/>
      <c r="B1243" s="28"/>
      <c r="C1243" s="28"/>
      <c r="D1243" s="28"/>
    </row>
    <row r="1244" customHeight="1" spans="1:4">
      <c r="A1244" s="27"/>
      <c r="B1244" s="28"/>
      <c r="C1244" s="28"/>
      <c r="D1244" s="28"/>
    </row>
    <row r="1245" customHeight="1" spans="1:4">
      <c r="A1245" s="27"/>
      <c r="B1245" s="28"/>
      <c r="C1245" s="28"/>
      <c r="D1245" s="28"/>
    </row>
    <row r="1246" customHeight="1" spans="1:4">
      <c r="A1246" s="27"/>
      <c r="B1246" s="28"/>
      <c r="C1246" s="28"/>
      <c r="D1246" s="28"/>
    </row>
    <row r="1247" customHeight="1" spans="1:4">
      <c r="A1247" s="27"/>
      <c r="B1247" s="28"/>
      <c r="C1247" s="28"/>
      <c r="D1247" s="28"/>
    </row>
    <row r="1248" customHeight="1" spans="1:4">
      <c r="A1248" s="27"/>
      <c r="B1248" s="28"/>
      <c r="C1248" s="28"/>
      <c r="D1248" s="28"/>
    </row>
    <row r="1249" customHeight="1" spans="1:4">
      <c r="A1249" s="27"/>
      <c r="B1249" s="28"/>
      <c r="C1249" s="28"/>
      <c r="D1249" s="28"/>
    </row>
    <row r="1250" customHeight="1" spans="1:4">
      <c r="A1250" s="27"/>
      <c r="B1250" s="28"/>
      <c r="C1250" s="28"/>
      <c r="D1250" s="28"/>
    </row>
    <row r="1251" customHeight="1" spans="1:4">
      <c r="A1251" s="27"/>
      <c r="B1251" s="28"/>
      <c r="C1251" s="28"/>
      <c r="D1251" s="28"/>
    </row>
    <row r="1252" customHeight="1" spans="1:4">
      <c r="A1252" s="27"/>
      <c r="B1252" s="28"/>
      <c r="C1252" s="28"/>
      <c r="D1252" s="28"/>
    </row>
    <row r="1253" customHeight="1" spans="1:4">
      <c r="A1253" s="27"/>
      <c r="B1253" s="28"/>
      <c r="C1253" s="28"/>
      <c r="D1253" s="28"/>
    </row>
    <row r="1254" customHeight="1" spans="1:4">
      <c r="A1254" s="27"/>
      <c r="B1254" s="28"/>
      <c r="C1254" s="28"/>
      <c r="D1254" s="28"/>
    </row>
    <row r="1255" customHeight="1" spans="1:4">
      <c r="A1255" s="27"/>
      <c r="B1255" s="28"/>
      <c r="C1255" s="28"/>
      <c r="D1255" s="28"/>
    </row>
    <row r="1256" customHeight="1" spans="1:4">
      <c r="A1256" s="27"/>
      <c r="B1256" s="28"/>
      <c r="C1256" s="28"/>
      <c r="D1256" s="28"/>
    </row>
    <row r="1257" customHeight="1" spans="1:4">
      <c r="A1257" s="27"/>
      <c r="B1257" s="28"/>
      <c r="C1257" s="28"/>
      <c r="D1257" s="28"/>
    </row>
    <row r="1258" customHeight="1" spans="1:4">
      <c r="A1258" s="27"/>
      <c r="B1258" s="28"/>
      <c r="C1258" s="28"/>
      <c r="D1258" s="28"/>
    </row>
    <row r="1259" customHeight="1" spans="1:4">
      <c r="A1259" s="27"/>
      <c r="B1259" s="28"/>
      <c r="C1259" s="28"/>
      <c r="D1259" s="28"/>
    </row>
    <row r="1260" customHeight="1" spans="1:4">
      <c r="A1260" s="27"/>
      <c r="B1260" s="28"/>
      <c r="C1260" s="28"/>
      <c r="D1260" s="28"/>
    </row>
    <row r="1261" customHeight="1" spans="1:4">
      <c r="A1261" s="27"/>
      <c r="B1261" s="28"/>
      <c r="C1261" s="28"/>
      <c r="D1261" s="28"/>
    </row>
    <row r="1262" customHeight="1" spans="1:4">
      <c r="A1262" s="27"/>
      <c r="B1262" s="28"/>
      <c r="C1262" s="28"/>
      <c r="D1262" s="28"/>
    </row>
    <row r="1263" customHeight="1" spans="1:4">
      <c r="A1263" s="27"/>
      <c r="B1263" s="28"/>
      <c r="C1263" s="28"/>
      <c r="D1263" s="28"/>
    </row>
    <row r="1264" customHeight="1" spans="1:4">
      <c r="A1264" s="27"/>
      <c r="B1264" s="28"/>
      <c r="C1264" s="28"/>
      <c r="D1264" s="28"/>
    </row>
    <row r="1265" customHeight="1" spans="1:4">
      <c r="A1265" s="27"/>
      <c r="B1265" s="28"/>
      <c r="C1265" s="28"/>
      <c r="D1265" s="28"/>
    </row>
    <row r="1266" customHeight="1" spans="1:4">
      <c r="A1266" s="27"/>
      <c r="B1266" s="28"/>
      <c r="C1266" s="28"/>
      <c r="D1266" s="28"/>
    </row>
    <row r="1267" customHeight="1" spans="1:4">
      <c r="A1267" s="27"/>
      <c r="B1267" s="28"/>
      <c r="C1267" s="28"/>
      <c r="D1267" s="28"/>
    </row>
    <row r="1268" customHeight="1" spans="1:4">
      <c r="A1268" s="27"/>
      <c r="B1268" s="28"/>
      <c r="C1268" s="28"/>
      <c r="D1268" s="28"/>
    </row>
    <row r="1269" customHeight="1" spans="1:4">
      <c r="A1269" s="27"/>
      <c r="B1269" s="28"/>
      <c r="C1269" s="28"/>
      <c r="D1269" s="28"/>
    </row>
    <row r="1270" customHeight="1" spans="1:4">
      <c r="A1270" s="27"/>
      <c r="B1270" s="28"/>
      <c r="C1270" s="28"/>
      <c r="D1270" s="28"/>
    </row>
    <row r="1271" customHeight="1" spans="1:4">
      <c r="A1271" s="27"/>
      <c r="B1271" s="28"/>
      <c r="C1271" s="28"/>
      <c r="D1271" s="28"/>
    </row>
    <row r="1272" customHeight="1" spans="1:4">
      <c r="A1272" s="27"/>
      <c r="B1272" s="28"/>
      <c r="C1272" s="28"/>
      <c r="D1272" s="28"/>
    </row>
    <row r="1273" customHeight="1" spans="1:4">
      <c r="A1273" s="27"/>
      <c r="B1273" s="28"/>
      <c r="C1273" s="28"/>
      <c r="D1273" s="28"/>
    </row>
    <row r="1274" customHeight="1" spans="1:4">
      <c r="A1274" s="27"/>
      <c r="B1274" s="28"/>
      <c r="C1274" s="28"/>
      <c r="D1274" s="28"/>
    </row>
    <row r="1275" customHeight="1" spans="1:4">
      <c r="A1275" s="27"/>
      <c r="B1275" s="28"/>
      <c r="C1275" s="28"/>
      <c r="D1275" s="28"/>
    </row>
    <row r="1276" customHeight="1" spans="1:4">
      <c r="A1276" s="27"/>
      <c r="B1276" s="28"/>
      <c r="C1276" s="28"/>
      <c r="D1276" s="28"/>
    </row>
    <row r="1277" customHeight="1" spans="1:4">
      <c r="A1277" s="27"/>
      <c r="B1277" s="28"/>
      <c r="C1277" s="28"/>
      <c r="D1277" s="28"/>
    </row>
    <row r="1278" customHeight="1" spans="1:4">
      <c r="A1278" s="27"/>
      <c r="B1278" s="28"/>
      <c r="C1278" s="28"/>
      <c r="D1278" s="28"/>
    </row>
    <row r="1279" customHeight="1" spans="1:4">
      <c r="A1279" s="27"/>
      <c r="B1279" s="28"/>
      <c r="C1279" s="28"/>
      <c r="D1279" s="28"/>
    </row>
    <row r="1280" customHeight="1" spans="1:4">
      <c r="A1280" s="27"/>
      <c r="B1280" s="28"/>
      <c r="C1280" s="28"/>
      <c r="D1280" s="28"/>
    </row>
    <row r="1281" customHeight="1" spans="1:4">
      <c r="A1281" s="27"/>
      <c r="B1281" s="28"/>
      <c r="C1281" s="28"/>
      <c r="D1281" s="28"/>
    </row>
    <row r="1282" customHeight="1" spans="1:4">
      <c r="A1282" s="27"/>
      <c r="B1282" s="28"/>
      <c r="C1282" s="28"/>
      <c r="D1282" s="28"/>
    </row>
    <row r="1283" customHeight="1" spans="1:4">
      <c r="A1283" s="27"/>
      <c r="B1283" s="28"/>
      <c r="C1283" s="28"/>
      <c r="D1283" s="28"/>
    </row>
    <row r="1284" customHeight="1" spans="1:4">
      <c r="A1284" s="27"/>
      <c r="B1284" s="28"/>
      <c r="C1284" s="28"/>
      <c r="D1284" s="28"/>
    </row>
    <row r="1285" customHeight="1" spans="1:4">
      <c r="A1285" s="27"/>
      <c r="B1285" s="28"/>
      <c r="C1285" s="28"/>
      <c r="D1285" s="28"/>
    </row>
    <row r="1286" customHeight="1" spans="1:4">
      <c r="A1286" s="27"/>
      <c r="B1286" s="28"/>
      <c r="C1286" s="28"/>
      <c r="D1286" s="28"/>
    </row>
    <row r="1287" customHeight="1" spans="1:4">
      <c r="A1287" s="27"/>
      <c r="B1287" s="28"/>
      <c r="C1287" s="28"/>
      <c r="D1287" s="28"/>
    </row>
    <row r="1288" customHeight="1" spans="1:4">
      <c r="A1288" s="27"/>
      <c r="B1288" s="28"/>
      <c r="C1288" s="28"/>
      <c r="D1288" s="28"/>
    </row>
    <row r="1289" customHeight="1" spans="1:4">
      <c r="A1289" s="27"/>
      <c r="B1289" s="28"/>
      <c r="C1289" s="28"/>
      <c r="D1289" s="28"/>
    </row>
    <row r="1290" customHeight="1" spans="1:4">
      <c r="A1290" s="27"/>
      <c r="B1290" s="28"/>
      <c r="C1290" s="28"/>
      <c r="D1290" s="28"/>
    </row>
    <row r="1291" customHeight="1" spans="1:4">
      <c r="A1291" s="27"/>
      <c r="B1291" s="28"/>
      <c r="C1291" s="28"/>
      <c r="D1291" s="28"/>
    </row>
    <row r="1292" customHeight="1" spans="1:4">
      <c r="A1292" s="27"/>
      <c r="B1292" s="28"/>
      <c r="C1292" s="28"/>
      <c r="D1292" s="28"/>
    </row>
    <row r="1293" customHeight="1" spans="1:4">
      <c r="A1293" s="27"/>
      <c r="B1293" s="28"/>
      <c r="C1293" s="28"/>
      <c r="D1293" s="28"/>
    </row>
    <row r="1294" customHeight="1" spans="1:4">
      <c r="A1294" s="27"/>
      <c r="B1294" s="28"/>
      <c r="C1294" s="28"/>
      <c r="D1294" s="28"/>
    </row>
    <row r="1295" customHeight="1" spans="1:4">
      <c r="A1295" s="27"/>
      <c r="B1295" s="28"/>
      <c r="C1295" s="28"/>
      <c r="D1295" s="28"/>
    </row>
    <row r="1296" customHeight="1" spans="1:4">
      <c r="A1296" s="27"/>
      <c r="B1296" s="28"/>
      <c r="C1296" s="28"/>
      <c r="D1296" s="28"/>
    </row>
    <row r="1297" customHeight="1" spans="1:4">
      <c r="A1297" s="27"/>
      <c r="B1297" s="28"/>
      <c r="C1297" s="28"/>
      <c r="D1297" s="28"/>
    </row>
    <row r="1298" customHeight="1" spans="1:4">
      <c r="A1298" s="27"/>
      <c r="B1298" s="28"/>
      <c r="C1298" s="28"/>
      <c r="D1298" s="28"/>
    </row>
    <row r="1299" customHeight="1" spans="1:4">
      <c r="A1299" s="27"/>
      <c r="B1299" s="28"/>
      <c r="C1299" s="28"/>
      <c r="D1299" s="28"/>
    </row>
    <row r="1300" customHeight="1" spans="1:4">
      <c r="A1300" s="27"/>
      <c r="B1300" s="28"/>
      <c r="C1300" s="28"/>
      <c r="D1300" s="28"/>
    </row>
    <row r="1301" customHeight="1" spans="1:4">
      <c r="A1301" s="27"/>
      <c r="B1301" s="28"/>
      <c r="C1301" s="28"/>
      <c r="D1301" s="28"/>
    </row>
    <row r="1302" customHeight="1" spans="1:4">
      <c r="A1302" s="27"/>
      <c r="B1302" s="28"/>
      <c r="C1302" s="28"/>
      <c r="D1302" s="28"/>
    </row>
    <row r="1303" customHeight="1" spans="1:4">
      <c r="A1303" s="27"/>
      <c r="B1303" s="28"/>
      <c r="C1303" s="28"/>
      <c r="D1303" s="28"/>
    </row>
    <row r="1304" customHeight="1" spans="1:4">
      <c r="A1304" s="27"/>
      <c r="B1304" s="28"/>
      <c r="C1304" s="28"/>
      <c r="D1304" s="28"/>
    </row>
    <row r="1305" customHeight="1" spans="1:4">
      <c r="A1305" s="27"/>
      <c r="B1305" s="28"/>
      <c r="C1305" s="28"/>
      <c r="D1305" s="28"/>
    </row>
    <row r="1306" customHeight="1" spans="1:4">
      <c r="A1306" s="27"/>
      <c r="B1306" s="28"/>
      <c r="C1306" s="28"/>
      <c r="D1306" s="28"/>
    </row>
    <row r="1307" customHeight="1" spans="1:4">
      <c r="A1307" s="27"/>
      <c r="B1307" s="28"/>
      <c r="C1307" s="28"/>
      <c r="D1307" s="28"/>
    </row>
    <row r="1308" customHeight="1" spans="1:4">
      <c r="A1308" s="27"/>
      <c r="B1308" s="28"/>
      <c r="C1308" s="28"/>
      <c r="D1308" s="28"/>
    </row>
    <row r="1309" customHeight="1" spans="1:4">
      <c r="A1309" s="27"/>
      <c r="B1309" s="28"/>
      <c r="C1309" s="28"/>
      <c r="D1309" s="28"/>
    </row>
    <row r="1310" customHeight="1" spans="1:4">
      <c r="A1310" s="27"/>
      <c r="B1310" s="28"/>
      <c r="C1310" s="28"/>
      <c r="D1310" s="28"/>
    </row>
    <row r="1311" customHeight="1" spans="1:4">
      <c r="A1311" s="27"/>
      <c r="B1311" s="28"/>
      <c r="C1311" s="28"/>
      <c r="D1311" s="28"/>
    </row>
    <row r="1312" customHeight="1" spans="1:4">
      <c r="A1312" s="27"/>
      <c r="B1312" s="28"/>
      <c r="C1312" s="28"/>
      <c r="D1312" s="28"/>
    </row>
    <row r="1313" customHeight="1" spans="1:4">
      <c r="A1313" s="27"/>
      <c r="B1313" s="28"/>
      <c r="C1313" s="28"/>
      <c r="D1313" s="28"/>
    </row>
    <row r="1314" customHeight="1" spans="1:4">
      <c r="A1314" s="27"/>
      <c r="B1314" s="28"/>
      <c r="C1314" s="28"/>
      <c r="D1314" s="28"/>
    </row>
    <row r="1315" customHeight="1" spans="1:4">
      <c r="A1315" s="27"/>
      <c r="B1315" s="28"/>
      <c r="C1315" s="28"/>
      <c r="D1315" s="28"/>
    </row>
    <row r="1316" customHeight="1" spans="1:4">
      <c r="A1316" s="27"/>
      <c r="B1316" s="28"/>
      <c r="C1316" s="28"/>
      <c r="D1316" s="28"/>
    </row>
    <row r="1317" customHeight="1" spans="1:4">
      <c r="A1317" s="27"/>
      <c r="B1317" s="28"/>
      <c r="C1317" s="28"/>
      <c r="D1317" s="28"/>
    </row>
    <row r="1318" customHeight="1" spans="1:4">
      <c r="A1318" s="27"/>
      <c r="B1318" s="28"/>
      <c r="C1318" s="28"/>
      <c r="D1318" s="28"/>
    </row>
    <row r="1319" customHeight="1" spans="1:4">
      <c r="A1319" s="27"/>
      <c r="B1319" s="28"/>
      <c r="C1319" s="28"/>
      <c r="D1319" s="28"/>
    </row>
    <row r="1320" customHeight="1" spans="1:4">
      <c r="A1320" s="27"/>
      <c r="B1320" s="28"/>
      <c r="C1320" s="28"/>
      <c r="D1320" s="28"/>
    </row>
    <row r="1321" customHeight="1" spans="1:4">
      <c r="A1321" s="27"/>
      <c r="B1321" s="28"/>
      <c r="C1321" s="28"/>
      <c r="D1321" s="28"/>
    </row>
    <row r="1322" customHeight="1" spans="1:4">
      <c r="A1322" s="27"/>
      <c r="B1322" s="28"/>
      <c r="C1322" s="28"/>
      <c r="D1322" s="28"/>
    </row>
    <row r="1323" customHeight="1" spans="1:4">
      <c r="A1323" s="27"/>
      <c r="B1323" s="28"/>
      <c r="C1323" s="28"/>
      <c r="D1323" s="28"/>
    </row>
    <row r="1324" customHeight="1" spans="1:4">
      <c r="A1324" s="27"/>
      <c r="B1324" s="28"/>
      <c r="C1324" s="28"/>
      <c r="D1324" s="28"/>
    </row>
    <row r="1325" customHeight="1" spans="1:4">
      <c r="A1325" s="27"/>
      <c r="B1325" s="28"/>
      <c r="C1325" s="28"/>
      <c r="D1325" s="28"/>
    </row>
    <row r="1326" customHeight="1" spans="1:4">
      <c r="A1326" s="27"/>
      <c r="B1326" s="28"/>
      <c r="C1326" s="28"/>
      <c r="D1326" s="28"/>
    </row>
    <row r="1327" customHeight="1" spans="1:4">
      <c r="A1327" s="27"/>
      <c r="B1327" s="28"/>
      <c r="C1327" s="28"/>
      <c r="D1327" s="28"/>
    </row>
    <row r="1328" customHeight="1" spans="1:4">
      <c r="A1328" s="27"/>
      <c r="B1328" s="28"/>
      <c r="C1328" s="28"/>
      <c r="D1328" s="28"/>
    </row>
    <row r="1329" customHeight="1" spans="1:4">
      <c r="A1329" s="27"/>
      <c r="B1329" s="28"/>
      <c r="C1329" s="28"/>
      <c r="D1329" s="28"/>
    </row>
    <row r="1330" customHeight="1" spans="1:4">
      <c r="A1330" s="27"/>
      <c r="B1330" s="28"/>
      <c r="C1330" s="28"/>
      <c r="D1330" s="28"/>
    </row>
    <row r="1331" customHeight="1" spans="1:4">
      <c r="A1331" s="27"/>
      <c r="B1331" s="28"/>
      <c r="C1331" s="28"/>
      <c r="D1331" s="28"/>
    </row>
    <row r="1332" customHeight="1" spans="1:4">
      <c r="A1332" s="27"/>
      <c r="B1332" s="28"/>
      <c r="C1332" s="28"/>
      <c r="D1332" s="28"/>
    </row>
    <row r="1333" customHeight="1" spans="1:4">
      <c r="A1333" s="27"/>
      <c r="B1333" s="28"/>
      <c r="C1333" s="28"/>
      <c r="D1333" s="28"/>
    </row>
    <row r="1334" customHeight="1" spans="1:4">
      <c r="A1334" s="27"/>
      <c r="B1334" s="28"/>
      <c r="C1334" s="28"/>
      <c r="D1334" s="28"/>
    </row>
    <row r="1335" customHeight="1" spans="1:4">
      <c r="A1335" s="27"/>
      <c r="B1335" s="28"/>
      <c r="C1335" s="28"/>
      <c r="D1335" s="28"/>
    </row>
    <row r="1336" customHeight="1" spans="1:4">
      <c r="A1336" s="27"/>
      <c r="B1336" s="28"/>
      <c r="C1336" s="28"/>
      <c r="D1336" s="28"/>
    </row>
    <row r="1337" customHeight="1" spans="1:4">
      <c r="A1337" s="27"/>
      <c r="B1337" s="28"/>
      <c r="C1337" s="28"/>
      <c r="D1337" s="28"/>
    </row>
    <row r="1338" customHeight="1" spans="1:4">
      <c r="A1338" s="27"/>
      <c r="B1338" s="28"/>
      <c r="C1338" s="28"/>
      <c r="D1338" s="28"/>
    </row>
    <row r="1339" customHeight="1" spans="1:4">
      <c r="A1339" s="27"/>
      <c r="B1339" s="28"/>
      <c r="C1339" s="28"/>
      <c r="D1339" s="28"/>
    </row>
    <row r="1340" customHeight="1" spans="1:4">
      <c r="A1340" s="27"/>
      <c r="B1340" s="28"/>
      <c r="C1340" s="28"/>
      <c r="D1340" s="28"/>
    </row>
    <row r="1341" customHeight="1" spans="1:4">
      <c r="A1341" s="27"/>
      <c r="B1341" s="28"/>
      <c r="C1341" s="28"/>
      <c r="D1341" s="28"/>
    </row>
    <row r="1342" customHeight="1" spans="1:4">
      <c r="A1342" s="27"/>
      <c r="B1342" s="28"/>
      <c r="C1342" s="28"/>
      <c r="D1342" s="28"/>
    </row>
    <row r="1343" customHeight="1" spans="1:4">
      <c r="A1343" s="27"/>
      <c r="B1343" s="28"/>
      <c r="C1343" s="28"/>
      <c r="D1343" s="28"/>
    </row>
    <row r="1344" customHeight="1" spans="1:4">
      <c r="A1344" s="27"/>
      <c r="B1344" s="28"/>
      <c r="C1344" s="28"/>
      <c r="D1344" s="28"/>
    </row>
    <row r="1345" customHeight="1" spans="1:4">
      <c r="A1345" s="27"/>
      <c r="B1345" s="28"/>
      <c r="C1345" s="28"/>
      <c r="D1345" s="28"/>
    </row>
    <row r="1346" customHeight="1" spans="1:4">
      <c r="A1346" s="27"/>
      <c r="B1346" s="28"/>
      <c r="C1346" s="28"/>
      <c r="D1346" s="28"/>
    </row>
    <row r="1347" customHeight="1" spans="1:4">
      <c r="A1347" s="27"/>
      <c r="B1347" s="28"/>
      <c r="C1347" s="28"/>
      <c r="D1347" s="28"/>
    </row>
    <row r="1348" customHeight="1" spans="1:4">
      <c r="A1348" s="27"/>
      <c r="B1348" s="28"/>
      <c r="C1348" s="28"/>
      <c r="D1348" s="28"/>
    </row>
    <row r="1349" customHeight="1" spans="1:4">
      <c r="A1349" s="27"/>
      <c r="B1349" s="28"/>
      <c r="C1349" s="28"/>
      <c r="D1349" s="28"/>
    </row>
    <row r="1350" customHeight="1" spans="1:4">
      <c r="A1350" s="27"/>
      <c r="B1350" s="28"/>
      <c r="C1350" s="28"/>
      <c r="D1350" s="28"/>
    </row>
    <row r="1351" customHeight="1" spans="1:4">
      <c r="A1351" s="27"/>
      <c r="B1351" s="28"/>
      <c r="C1351" s="28"/>
      <c r="D1351" s="28"/>
    </row>
    <row r="1352" customHeight="1" spans="1:4">
      <c r="A1352" s="27"/>
      <c r="B1352" s="28"/>
      <c r="C1352" s="28"/>
      <c r="D1352" s="28"/>
    </row>
    <row r="1353" customHeight="1" spans="1:4">
      <c r="A1353" s="27"/>
      <c r="B1353" s="28"/>
      <c r="C1353" s="28"/>
      <c r="D1353" s="28"/>
    </row>
    <row r="1354" customHeight="1" spans="1:4">
      <c r="A1354" s="27"/>
      <c r="B1354" s="28"/>
      <c r="C1354" s="28"/>
      <c r="D1354" s="28"/>
    </row>
    <row r="1355" customHeight="1" spans="1:4">
      <c r="A1355" s="27"/>
      <c r="B1355" s="28"/>
      <c r="C1355" s="28"/>
      <c r="D1355" s="28"/>
    </row>
    <row r="1356" customHeight="1" spans="1:4">
      <c r="A1356" s="27"/>
      <c r="B1356" s="28"/>
      <c r="C1356" s="28"/>
      <c r="D1356" s="28"/>
    </row>
    <row r="1357" customHeight="1" spans="1:4">
      <c r="A1357" s="27"/>
      <c r="B1357" s="28"/>
      <c r="C1357" s="28"/>
      <c r="D1357" s="28"/>
    </row>
    <row r="1358" customHeight="1" spans="1:4">
      <c r="A1358" s="27"/>
      <c r="B1358" s="28"/>
      <c r="C1358" s="28"/>
      <c r="D1358" s="28"/>
    </row>
    <row r="1359" customHeight="1" spans="1:4">
      <c r="A1359" s="27"/>
      <c r="B1359" s="28"/>
      <c r="C1359" s="28"/>
      <c r="D1359" s="28"/>
    </row>
    <row r="1360" customHeight="1" spans="1:4">
      <c r="A1360" s="27"/>
      <c r="B1360" s="28"/>
      <c r="C1360" s="28"/>
      <c r="D1360" s="28"/>
    </row>
    <row r="1361" customHeight="1" spans="1:4">
      <c r="A1361" s="27"/>
      <c r="B1361" s="28"/>
      <c r="C1361" s="28"/>
      <c r="D1361" s="28"/>
    </row>
    <row r="1362" customHeight="1" spans="1:4">
      <c r="A1362" s="27"/>
      <c r="B1362" s="28"/>
      <c r="C1362" s="28"/>
      <c r="D1362" s="28"/>
    </row>
    <row r="1363" customHeight="1" spans="1:4">
      <c r="A1363" s="27"/>
      <c r="B1363" s="28"/>
      <c r="C1363" s="28"/>
      <c r="D1363" s="28"/>
    </row>
    <row r="1364" customHeight="1" spans="1:4">
      <c r="A1364" s="27"/>
      <c r="B1364" s="28"/>
      <c r="C1364" s="28"/>
      <c r="D1364" s="28"/>
    </row>
    <row r="1365" customHeight="1" spans="1:4">
      <c r="A1365" s="27"/>
      <c r="B1365" s="28"/>
      <c r="C1365" s="28"/>
      <c r="D1365" s="28"/>
    </row>
    <row r="1366" customHeight="1" spans="1:4">
      <c r="A1366" s="27"/>
      <c r="B1366" s="28"/>
      <c r="C1366" s="28"/>
      <c r="D1366" s="28"/>
    </row>
    <row r="1367" customHeight="1" spans="1:4">
      <c r="A1367" s="27"/>
      <c r="B1367" s="28"/>
      <c r="C1367" s="28"/>
      <c r="D1367" s="28"/>
    </row>
    <row r="1368" customHeight="1" spans="1:4">
      <c r="A1368" s="27"/>
      <c r="B1368" s="28"/>
      <c r="C1368" s="28"/>
      <c r="D1368" s="28"/>
    </row>
    <row r="1369" customHeight="1" spans="1:4">
      <c r="A1369" s="27"/>
      <c r="B1369" s="28"/>
      <c r="C1369" s="28"/>
      <c r="D1369" s="28"/>
    </row>
    <row r="1370" customHeight="1" spans="1:4">
      <c r="A1370" s="27"/>
      <c r="B1370" s="28"/>
      <c r="C1370" s="28"/>
      <c r="D1370" s="28"/>
    </row>
    <row r="1371" customHeight="1" spans="1:4">
      <c r="A1371" s="27"/>
      <c r="B1371" s="28"/>
      <c r="C1371" s="28"/>
      <c r="D1371" s="28"/>
    </row>
    <row r="1372" customHeight="1" spans="1:4">
      <c r="A1372" s="27"/>
      <c r="B1372" s="28"/>
      <c r="C1372" s="28"/>
      <c r="D1372" s="28"/>
    </row>
    <row r="1373" customHeight="1" spans="1:4">
      <c r="A1373" s="27"/>
      <c r="B1373" s="28"/>
      <c r="C1373" s="28"/>
      <c r="D1373" s="28"/>
    </row>
    <row r="1374" customHeight="1" spans="1:4">
      <c r="A1374" s="27"/>
      <c r="B1374" s="28"/>
      <c r="C1374" s="28"/>
      <c r="D1374" s="28"/>
    </row>
    <row r="1375" customHeight="1" spans="1:4">
      <c r="A1375" s="27"/>
      <c r="B1375" s="28"/>
      <c r="C1375" s="28"/>
      <c r="D1375" s="28"/>
    </row>
    <row r="1376" customHeight="1" spans="1:4">
      <c r="A1376" s="27"/>
      <c r="B1376" s="28"/>
      <c r="C1376" s="28"/>
      <c r="D1376" s="28"/>
    </row>
    <row r="1377" customHeight="1" spans="1:4">
      <c r="A1377" s="27"/>
      <c r="B1377" s="28"/>
      <c r="C1377" s="28"/>
      <c r="D1377" s="28"/>
    </row>
    <row r="1378" customHeight="1" spans="1:4">
      <c r="A1378" s="27"/>
      <c r="B1378" s="28"/>
      <c r="C1378" s="28"/>
      <c r="D1378" s="28"/>
    </row>
    <row r="1379" customHeight="1" spans="1:4">
      <c r="A1379" s="27"/>
      <c r="B1379" s="28"/>
      <c r="C1379" s="28"/>
      <c r="D1379" s="28"/>
    </row>
    <row r="1380" customHeight="1" spans="1:4">
      <c r="A1380" s="27"/>
      <c r="B1380" s="28"/>
      <c r="C1380" s="28"/>
      <c r="D1380" s="28"/>
    </row>
    <row r="1381" customHeight="1" spans="1:4">
      <c r="A1381" s="27"/>
      <c r="B1381" s="28"/>
      <c r="C1381" s="28"/>
      <c r="D1381" s="28"/>
    </row>
    <row r="1382" customHeight="1" spans="1:4">
      <c r="A1382" s="27"/>
      <c r="B1382" s="28"/>
      <c r="C1382" s="28"/>
      <c r="D1382" s="28"/>
    </row>
    <row r="1383" customHeight="1" spans="1:4">
      <c r="A1383" s="27"/>
      <c r="B1383" s="28"/>
      <c r="C1383" s="28"/>
      <c r="D1383" s="28"/>
    </row>
    <row r="1384" customHeight="1" spans="1:4">
      <c r="A1384" s="27"/>
      <c r="B1384" s="28"/>
      <c r="C1384" s="28"/>
      <c r="D1384" s="28"/>
    </row>
    <row r="1385" customHeight="1" spans="1:4">
      <c r="A1385" s="27"/>
      <c r="B1385" s="28"/>
      <c r="C1385" s="28"/>
      <c r="D1385" s="28"/>
    </row>
    <row r="1386" customHeight="1" spans="1:4">
      <c r="A1386" s="27"/>
      <c r="B1386" s="28"/>
      <c r="C1386" s="28"/>
      <c r="D1386" s="28"/>
    </row>
    <row r="1387" customHeight="1" spans="1:4">
      <c r="A1387" s="27"/>
      <c r="B1387" s="28"/>
      <c r="C1387" s="28"/>
      <c r="D1387" s="28"/>
    </row>
    <row r="1388" customHeight="1" spans="1:4">
      <c r="A1388" s="27"/>
      <c r="B1388" s="28"/>
      <c r="C1388" s="28"/>
      <c r="D1388" s="28"/>
    </row>
    <row r="1389" customHeight="1" spans="1:4">
      <c r="A1389" s="27"/>
      <c r="B1389" s="28"/>
      <c r="C1389" s="28"/>
      <c r="D1389" s="28"/>
    </row>
    <row r="1390" customHeight="1" spans="1:4">
      <c r="A1390" s="27"/>
      <c r="B1390" s="28"/>
      <c r="C1390" s="28"/>
      <c r="D1390" s="28"/>
    </row>
    <row r="1391" customHeight="1" spans="1:4">
      <c r="A1391" s="27"/>
      <c r="B1391" s="28"/>
      <c r="C1391" s="28"/>
      <c r="D1391" s="28"/>
    </row>
    <row r="1392" customHeight="1" spans="1:4">
      <c r="A1392" s="27"/>
      <c r="B1392" s="28"/>
      <c r="C1392" s="28"/>
      <c r="D1392" s="28"/>
    </row>
    <row r="1393" customHeight="1" spans="1:4">
      <c r="A1393" s="27"/>
      <c r="B1393" s="28"/>
      <c r="C1393" s="28"/>
      <c r="D1393" s="28"/>
    </row>
    <row r="1394" customHeight="1" spans="1:4">
      <c r="A1394" s="27"/>
      <c r="B1394" s="28"/>
      <c r="C1394" s="28"/>
      <c r="D1394" s="28"/>
    </row>
    <row r="1395" customHeight="1" spans="1:4">
      <c r="A1395" s="27"/>
      <c r="B1395" s="28"/>
      <c r="C1395" s="28"/>
      <c r="D1395" s="28"/>
    </row>
    <row r="1396" customHeight="1" spans="1:4">
      <c r="A1396" s="27"/>
      <c r="B1396" s="28"/>
      <c r="C1396" s="28"/>
      <c r="D1396" s="28"/>
    </row>
    <row r="1397" customHeight="1" spans="1:4">
      <c r="A1397" s="27"/>
      <c r="B1397" s="28"/>
      <c r="C1397" s="28"/>
      <c r="D1397" s="28"/>
    </row>
    <row r="1398" customHeight="1" spans="1:4">
      <c r="A1398" s="27"/>
      <c r="B1398" s="28"/>
      <c r="C1398" s="28"/>
      <c r="D1398" s="28"/>
    </row>
    <row r="1399" customHeight="1" spans="1:4">
      <c r="A1399" s="27"/>
      <c r="B1399" s="28"/>
      <c r="C1399" s="28"/>
      <c r="D1399" s="28"/>
    </row>
    <row r="1400" customHeight="1" spans="1:4">
      <c r="A1400" s="27"/>
      <c r="B1400" s="28"/>
      <c r="C1400" s="28"/>
      <c r="D1400" s="28"/>
    </row>
    <row r="1401" customHeight="1" spans="1:4">
      <c r="A1401" s="27"/>
      <c r="B1401" s="28"/>
      <c r="C1401" s="28"/>
      <c r="D1401" s="28"/>
    </row>
    <row r="1402" customHeight="1" spans="1:4">
      <c r="A1402" s="27"/>
      <c r="B1402" s="28"/>
      <c r="C1402" s="28"/>
      <c r="D1402" s="28"/>
    </row>
    <row r="1403" customHeight="1" spans="1:4">
      <c r="A1403" s="27"/>
      <c r="B1403" s="28"/>
      <c r="C1403" s="28"/>
      <c r="D1403" s="28"/>
    </row>
    <row r="1404" customHeight="1" spans="1:4">
      <c r="A1404" s="27"/>
      <c r="B1404" s="28"/>
      <c r="C1404" s="28"/>
      <c r="D1404" s="28"/>
    </row>
    <row r="1405" customHeight="1" spans="1:4">
      <c r="A1405" s="27"/>
      <c r="B1405" s="28"/>
      <c r="C1405" s="28"/>
      <c r="D1405" s="28"/>
    </row>
    <row r="1406" customHeight="1" spans="1:4">
      <c r="A1406" s="27"/>
      <c r="B1406" s="28"/>
      <c r="C1406" s="28"/>
      <c r="D1406" s="28"/>
    </row>
    <row r="1407" customHeight="1" spans="1:4">
      <c r="A1407" s="27"/>
      <c r="B1407" s="28"/>
      <c r="C1407" s="28"/>
      <c r="D1407" s="28"/>
    </row>
    <row r="1408" customHeight="1" spans="1:4">
      <c r="A1408" s="27"/>
      <c r="B1408" s="28"/>
      <c r="C1408" s="28"/>
      <c r="D1408" s="28"/>
    </row>
    <row r="1409" customHeight="1" spans="1:4">
      <c r="A1409" s="27"/>
      <c r="B1409" s="28"/>
      <c r="C1409" s="28"/>
      <c r="D1409" s="28"/>
    </row>
    <row r="1410" customHeight="1" spans="1:4">
      <c r="A1410" s="27"/>
      <c r="B1410" s="28"/>
      <c r="C1410" s="28"/>
      <c r="D1410" s="28"/>
    </row>
    <row r="1411" customHeight="1" spans="1:4">
      <c r="A1411" s="27"/>
      <c r="B1411" s="28"/>
      <c r="C1411" s="28"/>
      <c r="D1411" s="28"/>
    </row>
    <row r="1412" customHeight="1" spans="1:4">
      <c r="A1412" s="27"/>
      <c r="B1412" s="28"/>
      <c r="C1412" s="28"/>
      <c r="D1412" s="28"/>
    </row>
    <row r="1413" customHeight="1" spans="1:4">
      <c r="A1413" s="27"/>
      <c r="B1413" s="28"/>
      <c r="C1413" s="28"/>
      <c r="D1413" s="28"/>
    </row>
    <row r="1414" customHeight="1" spans="1:4">
      <c r="A1414" s="27"/>
      <c r="B1414" s="28"/>
      <c r="C1414" s="28"/>
      <c r="D1414" s="28"/>
    </row>
    <row r="1415" customHeight="1" spans="1:4">
      <c r="A1415" s="27"/>
      <c r="B1415" s="28"/>
      <c r="C1415" s="28"/>
      <c r="D1415" s="28"/>
    </row>
    <row r="1416" customHeight="1" spans="1:4">
      <c r="A1416" s="27"/>
      <c r="B1416" s="28"/>
      <c r="C1416" s="28"/>
      <c r="D1416" s="28"/>
    </row>
    <row r="1417" customHeight="1" spans="1:4">
      <c r="A1417" s="27"/>
      <c r="B1417" s="28"/>
      <c r="C1417" s="28"/>
      <c r="D1417" s="28"/>
    </row>
    <row r="1418" customHeight="1" spans="1:4">
      <c r="A1418" s="27"/>
      <c r="B1418" s="28"/>
      <c r="C1418" s="28"/>
      <c r="D1418" s="28"/>
    </row>
    <row r="1419" customHeight="1" spans="1:4">
      <c r="A1419" s="27"/>
      <c r="B1419" s="28"/>
      <c r="C1419" s="28"/>
      <c r="D1419" s="28"/>
    </row>
    <row r="1420" customHeight="1" spans="1:4">
      <c r="A1420" s="27"/>
      <c r="B1420" s="28"/>
      <c r="C1420" s="28"/>
      <c r="D1420" s="28"/>
    </row>
    <row r="1421" customHeight="1" spans="1:4">
      <c r="A1421" s="27"/>
      <c r="B1421" s="28"/>
      <c r="C1421" s="28"/>
      <c r="D1421" s="28"/>
    </row>
    <row r="1422" customHeight="1" spans="1:4">
      <c r="A1422" s="27"/>
      <c r="B1422" s="28"/>
      <c r="C1422" s="28"/>
      <c r="D1422" s="28"/>
    </row>
    <row r="1423" customHeight="1" spans="1:4">
      <c r="A1423" s="27"/>
      <c r="B1423" s="28"/>
      <c r="C1423" s="28"/>
      <c r="D1423" s="28"/>
    </row>
    <row r="1424" customHeight="1" spans="1:4">
      <c r="A1424" s="27"/>
      <c r="B1424" s="28"/>
      <c r="C1424" s="28"/>
      <c r="D1424" s="28"/>
    </row>
    <row r="1425" customHeight="1" spans="1:4">
      <c r="A1425" s="27"/>
      <c r="B1425" s="28"/>
      <c r="C1425" s="28"/>
      <c r="D1425" s="28"/>
    </row>
    <row r="1426" customHeight="1" spans="1:4">
      <c r="A1426" s="27"/>
      <c r="B1426" s="28"/>
      <c r="C1426" s="28"/>
      <c r="D1426" s="28"/>
    </row>
    <row r="1427" customHeight="1" spans="1:4">
      <c r="A1427" s="27"/>
      <c r="B1427" s="28"/>
      <c r="C1427" s="28"/>
      <c r="D1427" s="28"/>
    </row>
    <row r="1428" customHeight="1" spans="1:4">
      <c r="A1428" s="27"/>
      <c r="B1428" s="28"/>
      <c r="C1428" s="28"/>
      <c r="D1428" s="28"/>
    </row>
    <row r="1429" customHeight="1" spans="1:4">
      <c r="A1429" s="27"/>
      <c r="B1429" s="28"/>
      <c r="C1429" s="28"/>
      <c r="D1429" s="28"/>
    </row>
    <row r="1430" customHeight="1" spans="1:4">
      <c r="A1430" s="27"/>
      <c r="B1430" s="28"/>
      <c r="C1430" s="28"/>
      <c r="D1430" s="28"/>
    </row>
    <row r="1431" customHeight="1" spans="1:4">
      <c r="A1431" s="27"/>
      <c r="B1431" s="28"/>
      <c r="C1431" s="28"/>
      <c r="D1431" s="28"/>
    </row>
    <row r="1432" customHeight="1" spans="1:4">
      <c r="A1432" s="27"/>
      <c r="B1432" s="28"/>
      <c r="C1432" s="28"/>
      <c r="D1432" s="28"/>
    </row>
    <row r="1433" customHeight="1" spans="1:4">
      <c r="A1433" s="27"/>
      <c r="B1433" s="28"/>
      <c r="C1433" s="28"/>
      <c r="D1433" s="28"/>
    </row>
    <row r="1434" customHeight="1" spans="1:4">
      <c r="A1434" s="27"/>
      <c r="B1434" s="28"/>
      <c r="C1434" s="28"/>
      <c r="D1434" s="28"/>
    </row>
    <row r="1435" customHeight="1" spans="1:4">
      <c r="A1435" s="27"/>
      <c r="B1435" s="28"/>
      <c r="C1435" s="28"/>
      <c r="D1435" s="28"/>
    </row>
    <row r="1436" customHeight="1" spans="1:4">
      <c r="A1436" s="27"/>
      <c r="B1436" s="28"/>
      <c r="C1436" s="28"/>
      <c r="D1436" s="28"/>
    </row>
    <row r="1437" customHeight="1" spans="1:4">
      <c r="A1437" s="27"/>
      <c r="B1437" s="28"/>
      <c r="C1437" s="28"/>
      <c r="D1437" s="28"/>
    </row>
    <row r="1438" customHeight="1" spans="1:4">
      <c r="A1438" s="27"/>
      <c r="B1438" s="28"/>
      <c r="C1438" s="28"/>
      <c r="D1438" s="28"/>
    </row>
    <row r="1439" customHeight="1" spans="1:4">
      <c r="A1439" s="27"/>
      <c r="B1439" s="28"/>
      <c r="C1439" s="28"/>
      <c r="D1439" s="28"/>
    </row>
    <row r="1440" customHeight="1" spans="1:4">
      <c r="A1440" s="27"/>
      <c r="B1440" s="28"/>
      <c r="C1440" s="28"/>
      <c r="D1440" s="28"/>
    </row>
    <row r="1441" customHeight="1" spans="1:4">
      <c r="A1441" s="27"/>
      <c r="B1441" s="28"/>
      <c r="C1441" s="28"/>
      <c r="D1441" s="28"/>
    </row>
    <row r="1442" customHeight="1" spans="1:4">
      <c r="A1442" s="27"/>
      <c r="B1442" s="28"/>
      <c r="C1442" s="28"/>
      <c r="D1442" s="28"/>
    </row>
    <row r="1443" customHeight="1" spans="1:4">
      <c r="A1443" s="27"/>
      <c r="B1443" s="28"/>
      <c r="C1443" s="28"/>
      <c r="D1443" s="28"/>
    </row>
    <row r="1444" customHeight="1" spans="1:4">
      <c r="A1444" s="27"/>
      <c r="B1444" s="28"/>
      <c r="C1444" s="28"/>
      <c r="D1444" s="28"/>
    </row>
    <row r="1445" customHeight="1" spans="1:4">
      <c r="A1445" s="27"/>
      <c r="B1445" s="28"/>
      <c r="C1445" s="28"/>
      <c r="D1445" s="28"/>
    </row>
    <row r="1446" customHeight="1" spans="1:4">
      <c r="A1446" s="27"/>
      <c r="B1446" s="28"/>
      <c r="C1446" s="28"/>
      <c r="D1446" s="28"/>
    </row>
    <row r="1447" customHeight="1" spans="1:4">
      <c r="A1447" s="27"/>
      <c r="B1447" s="28"/>
      <c r="C1447" s="28"/>
      <c r="D1447" s="28"/>
    </row>
    <row r="1448" customHeight="1" spans="1:4">
      <c r="A1448" s="27"/>
      <c r="B1448" s="28"/>
      <c r="C1448" s="28"/>
      <c r="D1448" s="28"/>
    </row>
    <row r="1449" customHeight="1" spans="1:4">
      <c r="A1449" s="27"/>
      <c r="B1449" s="28"/>
      <c r="C1449" s="28"/>
      <c r="D1449" s="28"/>
    </row>
    <row r="1450" customHeight="1" spans="1:4">
      <c r="A1450" s="27"/>
      <c r="B1450" s="28"/>
      <c r="C1450" s="28"/>
      <c r="D1450" s="28"/>
    </row>
    <row r="1451" customHeight="1" spans="1:4">
      <c r="A1451" s="27"/>
      <c r="B1451" s="28"/>
      <c r="C1451" s="28"/>
      <c r="D1451" s="28"/>
    </row>
    <row r="1452" customHeight="1" spans="1:4">
      <c r="A1452" s="27"/>
      <c r="B1452" s="28"/>
      <c r="C1452" s="28"/>
      <c r="D1452" s="28"/>
    </row>
    <row r="1453" customHeight="1" spans="1:4">
      <c r="A1453" s="27"/>
      <c r="B1453" s="28"/>
      <c r="C1453" s="28"/>
      <c r="D1453" s="28"/>
    </row>
    <row r="1454" customHeight="1" spans="1:4">
      <c r="A1454" s="27"/>
      <c r="B1454" s="28"/>
      <c r="C1454" s="28"/>
      <c r="D1454" s="28"/>
    </row>
    <row r="1455" customHeight="1" spans="1:4">
      <c r="A1455" s="27"/>
      <c r="B1455" s="28"/>
      <c r="C1455" s="28"/>
      <c r="D1455" s="28"/>
    </row>
    <row r="1456" customHeight="1" spans="1:4">
      <c r="A1456" s="27"/>
      <c r="B1456" s="28"/>
      <c r="C1456" s="28"/>
      <c r="D1456" s="28"/>
    </row>
    <row r="1457" customHeight="1" spans="1:4">
      <c r="A1457" s="27"/>
      <c r="B1457" s="28"/>
      <c r="C1457" s="28"/>
      <c r="D1457" s="28"/>
    </row>
    <row r="1458" customHeight="1" spans="1:4">
      <c r="A1458" s="27"/>
      <c r="B1458" s="28"/>
      <c r="C1458" s="28"/>
      <c r="D1458" s="28"/>
    </row>
    <row r="1459" customHeight="1" spans="1:4">
      <c r="A1459" s="27"/>
      <c r="B1459" s="28"/>
      <c r="C1459" s="28"/>
      <c r="D1459" s="28"/>
    </row>
    <row r="1460" customHeight="1" spans="1:4">
      <c r="A1460" s="27"/>
      <c r="B1460" s="28"/>
      <c r="C1460" s="28"/>
      <c r="D1460" s="28"/>
    </row>
    <row r="1461" customHeight="1" spans="1:4">
      <c r="A1461" s="27"/>
      <c r="B1461" s="28"/>
      <c r="C1461" s="28"/>
      <c r="D1461" s="28"/>
    </row>
    <row r="1462" customHeight="1" spans="1:4">
      <c r="A1462" s="27"/>
      <c r="B1462" s="28"/>
      <c r="C1462" s="28"/>
      <c r="D1462" s="28"/>
    </row>
    <row r="1463" customHeight="1" spans="1:4">
      <c r="A1463" s="27"/>
      <c r="B1463" s="28"/>
      <c r="C1463" s="28"/>
      <c r="D1463" s="28"/>
    </row>
    <row r="1464" customHeight="1" spans="1:4">
      <c r="A1464" s="27"/>
      <c r="B1464" s="28"/>
      <c r="C1464" s="28"/>
      <c r="D1464" s="28"/>
    </row>
    <row r="1465" customHeight="1" spans="1:4">
      <c r="A1465" s="27"/>
      <c r="B1465" s="28"/>
      <c r="C1465" s="28"/>
      <c r="D1465" s="28"/>
    </row>
    <row r="1466" customHeight="1" spans="1:4">
      <c r="A1466" s="27"/>
      <c r="B1466" s="28"/>
      <c r="C1466" s="28"/>
      <c r="D1466" s="28"/>
    </row>
    <row r="1467" customHeight="1" spans="1:4">
      <c r="A1467" s="27"/>
      <c r="B1467" s="28"/>
      <c r="C1467" s="28"/>
      <c r="D1467" s="28"/>
    </row>
    <row r="1468" customHeight="1" spans="1:4">
      <c r="A1468" s="27"/>
      <c r="B1468" s="28"/>
      <c r="C1468" s="28"/>
      <c r="D1468" s="28"/>
    </row>
    <row r="1469" customHeight="1" spans="1:4">
      <c r="A1469" s="27"/>
      <c r="B1469" s="28"/>
      <c r="C1469" s="28"/>
      <c r="D1469" s="28"/>
    </row>
    <row r="1470" customHeight="1" spans="1:4">
      <c r="A1470" s="27"/>
      <c r="B1470" s="28"/>
      <c r="C1470" s="28"/>
      <c r="D1470" s="28"/>
    </row>
    <row r="1471" customHeight="1" spans="1:4">
      <c r="A1471" s="27"/>
      <c r="B1471" s="28"/>
      <c r="C1471" s="28"/>
      <c r="D1471" s="28"/>
    </row>
    <row r="1472" customHeight="1" spans="1:4">
      <c r="A1472" s="27"/>
      <c r="B1472" s="28"/>
      <c r="C1472" s="28"/>
      <c r="D1472" s="28"/>
    </row>
    <row r="1473" customHeight="1" spans="1:4">
      <c r="A1473" s="27"/>
      <c r="B1473" s="28"/>
      <c r="C1473" s="28"/>
      <c r="D1473" s="28"/>
    </row>
    <row r="1474" customHeight="1" spans="1:4">
      <c r="A1474" s="27"/>
      <c r="B1474" s="28"/>
      <c r="C1474" s="28"/>
      <c r="D1474" s="28"/>
    </row>
    <row r="1475" customHeight="1" spans="1:4">
      <c r="A1475" s="27"/>
      <c r="B1475" s="28"/>
      <c r="C1475" s="28"/>
      <c r="D1475" s="28"/>
    </row>
    <row r="1476" customHeight="1" spans="1:4">
      <c r="A1476" s="27"/>
      <c r="B1476" s="28"/>
      <c r="C1476" s="28"/>
      <c r="D1476" s="28"/>
    </row>
    <row r="1477" customHeight="1" spans="1:4">
      <c r="A1477" s="27"/>
      <c r="B1477" s="28"/>
      <c r="C1477" s="28"/>
      <c r="D1477" s="28"/>
    </row>
    <row r="1478" customHeight="1" spans="1:4">
      <c r="A1478" s="27"/>
      <c r="B1478" s="28"/>
      <c r="C1478" s="28"/>
      <c r="D1478" s="28"/>
    </row>
    <row r="1479" customHeight="1" spans="1:4">
      <c r="A1479" s="27"/>
      <c r="B1479" s="28"/>
      <c r="C1479" s="28"/>
      <c r="D1479" s="28"/>
    </row>
    <row r="1480" customHeight="1" spans="1:4">
      <c r="A1480" s="27"/>
      <c r="B1480" s="28"/>
      <c r="C1480" s="28"/>
      <c r="D1480" s="28"/>
    </row>
    <row r="1481" customHeight="1" spans="1:4">
      <c r="A1481" s="27"/>
      <c r="B1481" s="28"/>
      <c r="C1481" s="28"/>
      <c r="D1481" s="28"/>
    </row>
    <row r="1482" customHeight="1" spans="1:4">
      <c r="A1482" s="27"/>
      <c r="B1482" s="28"/>
      <c r="C1482" s="28"/>
      <c r="D1482" s="28"/>
    </row>
    <row r="1483" customHeight="1" spans="1:4">
      <c r="A1483" s="27"/>
      <c r="B1483" s="28"/>
      <c r="C1483" s="28"/>
      <c r="D1483" s="28"/>
    </row>
    <row r="1484" customHeight="1" spans="1:4">
      <c r="A1484" s="27"/>
      <c r="B1484" s="28"/>
      <c r="C1484" s="28"/>
      <c r="D1484" s="28"/>
    </row>
    <row r="1485" customHeight="1" spans="1:4">
      <c r="A1485" s="27"/>
      <c r="B1485" s="28"/>
      <c r="C1485" s="28"/>
      <c r="D1485" s="28"/>
    </row>
    <row r="1486" customHeight="1" spans="1:4">
      <c r="A1486" s="27"/>
      <c r="B1486" s="28"/>
      <c r="C1486" s="28"/>
      <c r="D1486" s="28"/>
    </row>
    <row r="1487" customHeight="1" spans="1:4">
      <c r="A1487" s="27"/>
      <c r="B1487" s="28"/>
      <c r="C1487" s="28"/>
      <c r="D1487" s="28"/>
    </row>
    <row r="1488" customHeight="1" spans="1:4">
      <c r="A1488" s="27"/>
      <c r="B1488" s="28"/>
      <c r="C1488" s="28"/>
      <c r="D1488" s="28"/>
    </row>
    <row r="1489" customHeight="1" spans="1:4">
      <c r="A1489" s="27"/>
      <c r="B1489" s="28"/>
      <c r="C1489" s="28"/>
      <c r="D1489" s="28"/>
    </row>
    <row r="1490" customHeight="1" spans="1:4">
      <c r="A1490" s="27"/>
      <c r="B1490" s="28"/>
      <c r="C1490" s="28"/>
      <c r="D1490" s="28"/>
    </row>
    <row r="1491" customHeight="1" spans="1:4">
      <c r="A1491" s="27"/>
      <c r="B1491" s="28"/>
      <c r="C1491" s="28"/>
      <c r="D1491" s="28"/>
    </row>
    <row r="1492" customHeight="1" spans="1:4">
      <c r="A1492" s="27"/>
      <c r="B1492" s="28"/>
      <c r="C1492" s="28"/>
      <c r="D1492" s="28"/>
    </row>
    <row r="1493" customHeight="1" spans="1:4">
      <c r="A1493" s="27"/>
      <c r="B1493" s="28"/>
      <c r="C1493" s="28"/>
      <c r="D1493" s="28"/>
    </row>
    <row r="1494" customHeight="1" spans="1:4">
      <c r="A1494" s="27"/>
      <c r="B1494" s="28"/>
      <c r="C1494" s="28"/>
      <c r="D1494" s="28"/>
    </row>
    <row r="1495" customHeight="1" spans="1:4">
      <c r="A1495" s="27"/>
      <c r="B1495" s="28"/>
      <c r="C1495" s="28"/>
      <c r="D1495" s="28"/>
    </row>
    <row r="1496" customHeight="1" spans="1:4">
      <c r="A1496" s="27"/>
      <c r="B1496" s="28"/>
      <c r="C1496" s="28"/>
      <c r="D1496" s="28"/>
    </row>
    <row r="1497" customHeight="1" spans="1:4">
      <c r="A1497" s="27"/>
      <c r="B1497" s="28"/>
      <c r="C1497" s="28"/>
      <c r="D1497" s="28"/>
    </row>
    <row r="1498" customHeight="1" spans="1:4">
      <c r="A1498" s="27"/>
      <c r="B1498" s="28"/>
      <c r="C1498" s="28"/>
      <c r="D1498" s="28"/>
    </row>
    <row r="1499" customHeight="1" spans="1:4">
      <c r="A1499" s="27"/>
      <c r="B1499" s="28"/>
      <c r="C1499" s="28"/>
      <c r="D1499" s="28"/>
    </row>
    <row r="1500" customHeight="1" spans="1:4">
      <c r="A1500" s="27"/>
      <c r="B1500" s="28"/>
      <c r="C1500" s="28"/>
      <c r="D1500" s="28"/>
    </row>
    <row r="1501" customHeight="1" spans="1:4">
      <c r="A1501" s="27"/>
      <c r="B1501" s="28"/>
      <c r="C1501" s="28"/>
      <c r="D1501" s="28"/>
    </row>
    <row r="1502" customHeight="1" spans="1:4">
      <c r="A1502" s="27"/>
      <c r="B1502" s="28"/>
      <c r="C1502" s="28"/>
      <c r="D1502" s="28"/>
    </row>
    <row r="1503" customHeight="1" spans="1:4">
      <c r="A1503" s="27"/>
      <c r="B1503" s="28"/>
      <c r="C1503" s="28"/>
      <c r="D1503" s="28"/>
    </row>
    <row r="1504" customHeight="1" spans="1:4">
      <c r="A1504" s="27"/>
      <c r="B1504" s="28"/>
      <c r="C1504" s="28"/>
      <c r="D1504" s="28"/>
    </row>
    <row r="1505" customHeight="1" spans="1:4">
      <c r="A1505" s="27"/>
      <c r="B1505" s="28"/>
      <c r="C1505" s="28"/>
      <c r="D1505" s="28"/>
    </row>
    <row r="1506" customHeight="1" spans="1:4">
      <c r="A1506" s="27"/>
      <c r="B1506" s="28"/>
      <c r="C1506" s="28"/>
      <c r="D1506" s="28"/>
    </row>
    <row r="1507" customHeight="1" spans="1:4">
      <c r="A1507" s="27"/>
      <c r="B1507" s="28"/>
      <c r="C1507" s="28"/>
      <c r="D1507" s="28"/>
    </row>
    <row r="1508" customHeight="1" spans="1:4">
      <c r="A1508" s="27"/>
      <c r="B1508" s="28"/>
      <c r="C1508" s="28"/>
      <c r="D1508" s="28"/>
    </row>
    <row r="1509" customHeight="1" spans="1:4">
      <c r="A1509" s="27"/>
      <c r="B1509" s="28"/>
      <c r="C1509" s="28"/>
      <c r="D1509" s="28"/>
    </row>
    <row r="1510" customHeight="1" spans="1:4">
      <c r="A1510" s="27"/>
      <c r="B1510" s="28"/>
      <c r="C1510" s="28"/>
      <c r="D1510" s="28"/>
    </row>
    <row r="1511" customHeight="1" spans="1:4">
      <c r="A1511" s="27"/>
      <c r="B1511" s="28"/>
      <c r="C1511" s="28"/>
      <c r="D1511" s="28"/>
    </row>
    <row r="1512" customHeight="1" spans="1:4">
      <c r="A1512" s="27"/>
      <c r="B1512" s="28"/>
      <c r="C1512" s="28"/>
      <c r="D1512" s="28"/>
    </row>
    <row r="1513" customHeight="1" spans="1:4">
      <c r="A1513" s="27"/>
      <c r="B1513" s="28"/>
      <c r="C1513" s="28"/>
      <c r="D1513" s="28"/>
    </row>
    <row r="1514" customHeight="1" spans="1:4">
      <c r="A1514" s="27"/>
      <c r="B1514" s="28"/>
      <c r="C1514" s="28"/>
      <c r="D1514" s="28"/>
    </row>
    <row r="1515" customHeight="1" spans="1:4">
      <c r="A1515" s="27"/>
      <c r="B1515" s="28"/>
      <c r="C1515" s="28"/>
      <c r="D1515" s="28"/>
    </row>
    <row r="1516" customHeight="1" spans="1:4">
      <c r="A1516" s="27"/>
      <c r="B1516" s="28"/>
      <c r="C1516" s="28"/>
      <c r="D1516" s="28"/>
    </row>
    <row r="1517" customHeight="1" spans="1:4">
      <c r="A1517" s="27"/>
      <c r="B1517" s="28"/>
      <c r="C1517" s="28"/>
      <c r="D1517" s="28"/>
    </row>
    <row r="1518" customHeight="1" spans="1:4">
      <c r="A1518" s="27"/>
      <c r="B1518" s="28"/>
      <c r="C1518" s="28"/>
      <c r="D1518" s="28"/>
    </row>
    <row r="1519" customHeight="1" spans="1:4">
      <c r="A1519" s="27"/>
      <c r="B1519" s="28"/>
      <c r="C1519" s="28"/>
      <c r="D1519" s="28"/>
    </row>
    <row r="1520" customHeight="1" spans="1:4">
      <c r="A1520" s="27"/>
      <c r="B1520" s="28"/>
      <c r="C1520" s="28"/>
      <c r="D1520" s="28"/>
    </row>
    <row r="1521" customHeight="1" spans="1:4">
      <c r="A1521" s="27"/>
      <c r="B1521" s="28"/>
      <c r="C1521" s="28"/>
      <c r="D1521" s="28"/>
    </row>
    <row r="1522" customHeight="1" spans="1:4">
      <c r="A1522" s="27"/>
      <c r="B1522" s="28"/>
      <c r="C1522" s="28"/>
      <c r="D1522" s="28"/>
    </row>
    <row r="1523" customHeight="1" spans="1:4">
      <c r="A1523" s="27"/>
      <c r="B1523" s="28"/>
      <c r="C1523" s="28"/>
      <c r="D1523" s="28"/>
    </row>
    <row r="1524" customHeight="1" spans="1:4">
      <c r="A1524" s="27"/>
      <c r="B1524" s="28"/>
      <c r="C1524" s="28"/>
      <c r="D1524" s="28"/>
    </row>
    <row r="1525" customHeight="1" spans="1:4">
      <c r="A1525" s="27"/>
      <c r="B1525" s="28"/>
      <c r="C1525" s="28"/>
      <c r="D1525" s="28"/>
    </row>
    <row r="1526" customHeight="1" spans="1:4">
      <c r="A1526" s="27"/>
      <c r="B1526" s="28"/>
      <c r="C1526" s="28"/>
      <c r="D1526" s="28"/>
    </row>
    <row r="1527" customHeight="1" spans="1:4">
      <c r="A1527" s="27"/>
      <c r="B1527" s="28"/>
      <c r="C1527" s="28"/>
      <c r="D1527" s="28"/>
    </row>
    <row r="1528" customHeight="1" spans="1:4">
      <c r="A1528" s="27"/>
      <c r="B1528" s="28"/>
      <c r="C1528" s="28"/>
      <c r="D1528" s="28"/>
    </row>
    <row r="1529" customHeight="1" spans="1:4">
      <c r="A1529" s="27"/>
      <c r="B1529" s="28"/>
      <c r="C1529" s="28"/>
      <c r="D1529" s="28"/>
    </row>
    <row r="1530" customHeight="1" spans="1:4">
      <c r="A1530" s="27"/>
      <c r="B1530" s="28"/>
      <c r="C1530" s="28"/>
      <c r="D1530" s="28"/>
    </row>
    <row r="1531" customHeight="1" spans="1:4">
      <c r="A1531" s="27"/>
      <c r="B1531" s="28"/>
      <c r="C1531" s="28"/>
      <c r="D1531" s="28"/>
    </row>
    <row r="1532" customHeight="1" spans="1:4">
      <c r="A1532" s="27"/>
      <c r="B1532" s="28"/>
      <c r="C1532" s="28"/>
      <c r="D1532" s="28"/>
    </row>
    <row r="1533" customHeight="1" spans="1:4">
      <c r="A1533" s="27"/>
      <c r="B1533" s="28"/>
      <c r="C1533" s="28"/>
      <c r="D1533" s="28"/>
    </row>
    <row r="1534" customHeight="1" spans="1:4">
      <c r="A1534" s="27"/>
      <c r="B1534" s="28"/>
      <c r="C1534" s="28"/>
      <c r="D1534" s="28"/>
    </row>
    <row r="1535" customHeight="1" spans="1:4">
      <c r="A1535" s="27"/>
      <c r="B1535" s="28"/>
      <c r="C1535" s="28"/>
      <c r="D1535" s="28"/>
    </row>
    <row r="1536" customHeight="1" spans="1:4">
      <c r="A1536" s="27"/>
      <c r="B1536" s="28"/>
      <c r="C1536" s="28"/>
      <c r="D1536" s="28"/>
    </row>
    <row r="1537" customHeight="1" spans="1:4">
      <c r="A1537" s="27"/>
      <c r="B1537" s="28"/>
      <c r="C1537" s="28"/>
      <c r="D1537" s="28"/>
    </row>
    <row r="1538" customHeight="1" spans="1:4">
      <c r="A1538" s="27"/>
      <c r="B1538" s="28"/>
      <c r="C1538" s="28"/>
      <c r="D1538" s="28"/>
    </row>
    <row r="1539" customHeight="1" spans="1:4">
      <c r="A1539" s="27"/>
      <c r="B1539" s="28"/>
      <c r="C1539" s="28"/>
      <c r="D1539" s="28"/>
    </row>
    <row r="1540" customHeight="1" spans="1:4">
      <c r="A1540" s="27"/>
      <c r="B1540" s="28"/>
      <c r="C1540" s="28"/>
      <c r="D1540" s="28"/>
    </row>
    <row r="1541" customHeight="1" spans="1:4">
      <c r="A1541" s="27"/>
      <c r="B1541" s="28"/>
      <c r="C1541" s="28"/>
      <c r="D1541" s="28"/>
    </row>
    <row r="1542" customHeight="1" spans="1:4">
      <c r="A1542" s="27"/>
      <c r="B1542" s="28"/>
      <c r="C1542" s="28"/>
      <c r="D1542" s="28"/>
    </row>
    <row r="1543" customHeight="1" spans="1:4">
      <c r="A1543" s="27"/>
      <c r="B1543" s="28"/>
      <c r="C1543" s="28"/>
      <c r="D1543" s="28"/>
    </row>
    <row r="1544" customHeight="1" spans="1:4">
      <c r="A1544" s="27"/>
      <c r="B1544" s="28"/>
      <c r="C1544" s="28"/>
      <c r="D1544" s="28"/>
    </row>
    <row r="1545" customHeight="1" spans="1:4">
      <c r="A1545" s="27"/>
      <c r="B1545" s="28"/>
      <c r="C1545" s="28"/>
      <c r="D1545" s="28"/>
    </row>
    <row r="1546" customHeight="1" spans="1:4">
      <c r="A1546" s="27"/>
      <c r="B1546" s="28"/>
      <c r="C1546" s="28"/>
      <c r="D1546" s="28"/>
    </row>
    <row r="1547" customHeight="1" spans="1:4">
      <c r="A1547" s="27"/>
      <c r="B1547" s="28"/>
      <c r="C1547" s="28"/>
      <c r="D1547" s="28"/>
    </row>
    <row r="1548" customHeight="1" spans="1:4">
      <c r="A1548" s="27"/>
      <c r="B1548" s="28"/>
      <c r="C1548" s="28"/>
      <c r="D1548" s="28"/>
    </row>
    <row r="1549" customHeight="1" spans="1:4">
      <c r="A1549" s="27"/>
      <c r="B1549" s="28"/>
      <c r="C1549" s="28"/>
      <c r="D1549" s="28"/>
    </row>
    <row r="1550" customHeight="1" spans="1:4">
      <c r="A1550" s="27"/>
      <c r="B1550" s="28"/>
      <c r="C1550" s="28"/>
      <c r="D1550" s="28"/>
    </row>
    <row r="1551" customHeight="1" spans="1:4">
      <c r="A1551" s="27"/>
      <c r="B1551" s="28"/>
      <c r="C1551" s="28"/>
      <c r="D1551" s="28"/>
    </row>
    <row r="1552" customHeight="1" spans="1:4">
      <c r="A1552" s="27"/>
      <c r="B1552" s="28"/>
      <c r="C1552" s="28"/>
      <c r="D1552" s="28"/>
    </row>
    <row r="1553" customHeight="1" spans="1:4">
      <c r="A1553" s="27"/>
      <c r="B1553" s="28"/>
      <c r="C1553" s="28"/>
      <c r="D1553" s="28"/>
    </row>
    <row r="1554" customHeight="1" spans="1:4">
      <c r="A1554" s="27"/>
      <c r="B1554" s="28"/>
      <c r="C1554" s="28"/>
      <c r="D1554" s="28"/>
    </row>
    <row r="1555" customHeight="1" spans="1:4">
      <c r="A1555" s="27"/>
      <c r="B1555" s="28"/>
      <c r="C1555" s="28"/>
      <c r="D1555" s="28"/>
    </row>
    <row r="1556" customHeight="1" spans="1:4">
      <c r="A1556" s="27"/>
      <c r="B1556" s="28"/>
      <c r="C1556" s="28"/>
      <c r="D1556" s="28"/>
    </row>
    <row r="1557" customHeight="1" spans="1:4">
      <c r="A1557" s="27"/>
      <c r="B1557" s="28"/>
      <c r="C1557" s="28"/>
      <c r="D1557" s="28"/>
    </row>
    <row r="1558" customHeight="1" spans="1:4">
      <c r="A1558" s="27"/>
      <c r="B1558" s="28"/>
      <c r="C1558" s="28"/>
      <c r="D1558" s="28"/>
    </row>
    <row r="1559" customHeight="1" spans="1:4">
      <c r="A1559" s="27"/>
      <c r="B1559" s="28"/>
      <c r="C1559" s="28"/>
      <c r="D1559" s="28"/>
    </row>
    <row r="1560" customHeight="1" spans="1:4">
      <c r="A1560" s="27"/>
      <c r="B1560" s="28"/>
      <c r="C1560" s="28"/>
      <c r="D1560" s="28"/>
    </row>
    <row r="1561" customHeight="1" spans="1:4">
      <c r="A1561" s="27"/>
      <c r="B1561" s="28"/>
      <c r="C1561" s="28"/>
      <c r="D1561" s="28"/>
    </row>
    <row r="1562" customHeight="1" spans="1:4">
      <c r="A1562" s="27"/>
      <c r="B1562" s="28"/>
      <c r="C1562" s="28"/>
      <c r="D1562" s="28"/>
    </row>
    <row r="1563" customHeight="1" spans="1:4">
      <c r="A1563" s="27"/>
      <c r="B1563" s="28"/>
      <c r="C1563" s="28"/>
      <c r="D1563" s="28"/>
    </row>
    <row r="1564" customHeight="1" spans="1:4">
      <c r="A1564" s="27"/>
      <c r="B1564" s="28"/>
      <c r="C1564" s="28"/>
      <c r="D1564" s="28"/>
    </row>
    <row r="1565" customHeight="1" spans="1:4">
      <c r="A1565" s="27"/>
      <c r="B1565" s="28"/>
      <c r="C1565" s="28"/>
      <c r="D1565" s="28"/>
    </row>
    <row r="1566" customHeight="1" spans="1:4">
      <c r="A1566" s="27"/>
      <c r="B1566" s="28"/>
      <c r="C1566" s="28"/>
      <c r="D1566" s="28"/>
    </row>
    <row r="1567" customHeight="1" spans="1:4">
      <c r="A1567" s="27"/>
      <c r="B1567" s="28"/>
      <c r="C1567" s="28"/>
      <c r="D1567" s="28"/>
    </row>
    <row r="1568" customHeight="1" spans="1:4">
      <c r="A1568" s="27"/>
      <c r="B1568" s="28"/>
      <c r="C1568" s="28"/>
      <c r="D1568" s="28"/>
    </row>
    <row r="1569" customHeight="1" spans="1:4">
      <c r="A1569" s="27"/>
      <c r="B1569" s="28"/>
      <c r="C1569" s="28"/>
      <c r="D1569" s="28"/>
    </row>
    <row r="1570" customHeight="1" spans="1:4">
      <c r="A1570" s="27"/>
      <c r="B1570" s="28"/>
      <c r="C1570" s="28"/>
      <c r="D1570" s="28"/>
    </row>
    <row r="1571" customHeight="1" spans="1:4">
      <c r="A1571" s="27"/>
      <c r="B1571" s="28"/>
      <c r="C1571" s="28"/>
      <c r="D1571" s="28"/>
    </row>
    <row r="1572" customHeight="1" spans="1:4">
      <c r="A1572" s="27"/>
      <c r="B1572" s="28"/>
      <c r="C1572" s="28"/>
      <c r="D1572" s="28"/>
    </row>
    <row r="1573" customHeight="1" spans="1:4">
      <c r="A1573" s="27"/>
      <c r="B1573" s="28"/>
      <c r="C1573" s="28"/>
      <c r="D1573" s="28"/>
    </row>
    <row r="1574" customHeight="1" spans="1:4">
      <c r="A1574" s="27"/>
      <c r="B1574" s="28"/>
      <c r="C1574" s="28"/>
      <c r="D1574" s="28"/>
    </row>
    <row r="1575" customHeight="1" spans="1:4">
      <c r="A1575" s="27"/>
      <c r="B1575" s="28"/>
      <c r="C1575" s="28"/>
      <c r="D1575" s="28"/>
    </row>
    <row r="1576" customHeight="1" spans="1:4">
      <c r="A1576" s="27"/>
      <c r="B1576" s="28"/>
      <c r="C1576" s="28"/>
      <c r="D1576" s="28"/>
    </row>
    <row r="1577" customHeight="1" spans="1:4">
      <c r="A1577" s="27"/>
      <c r="B1577" s="28"/>
      <c r="C1577" s="28"/>
      <c r="D1577" s="28"/>
    </row>
    <row r="1578" customHeight="1" spans="1:4">
      <c r="A1578" s="27"/>
      <c r="B1578" s="28"/>
      <c r="C1578" s="28"/>
      <c r="D1578" s="28"/>
    </row>
    <row r="1579" customHeight="1" spans="1:4">
      <c r="A1579" s="27"/>
      <c r="B1579" s="28"/>
      <c r="C1579" s="28"/>
      <c r="D1579" s="28"/>
    </row>
    <row r="1580" customHeight="1" spans="1:4">
      <c r="A1580" s="27"/>
      <c r="B1580" s="28"/>
      <c r="C1580" s="28"/>
      <c r="D1580" s="28"/>
    </row>
    <row r="1581" customHeight="1" spans="1:4">
      <c r="A1581" s="27"/>
      <c r="B1581" s="28"/>
      <c r="C1581" s="28"/>
      <c r="D1581" s="28"/>
    </row>
    <row r="1582" customHeight="1" spans="1:4">
      <c r="A1582" s="27"/>
      <c r="B1582" s="28"/>
      <c r="C1582" s="28"/>
      <c r="D1582" s="28"/>
    </row>
    <row r="1583" customHeight="1" spans="1:4">
      <c r="A1583" s="27"/>
      <c r="B1583" s="28"/>
      <c r="C1583" s="28"/>
      <c r="D1583" s="28"/>
    </row>
    <row r="1584" customHeight="1" spans="1:4">
      <c r="A1584" s="27"/>
      <c r="B1584" s="28"/>
      <c r="C1584" s="28"/>
      <c r="D1584" s="28"/>
    </row>
    <row r="1585" customHeight="1" spans="1:4">
      <c r="A1585" s="27"/>
      <c r="B1585" s="28"/>
      <c r="C1585" s="28"/>
      <c r="D1585" s="28"/>
    </row>
    <row r="1586" customHeight="1" spans="1:4">
      <c r="A1586" s="27"/>
      <c r="B1586" s="28"/>
      <c r="C1586" s="28"/>
      <c r="D1586" s="28"/>
    </row>
    <row r="1587" customHeight="1" spans="1:4">
      <c r="A1587" s="27"/>
      <c r="B1587" s="28"/>
      <c r="C1587" s="28"/>
      <c r="D1587" s="28"/>
    </row>
    <row r="1588" customHeight="1" spans="1:4">
      <c r="A1588" s="27"/>
      <c r="B1588" s="28"/>
      <c r="C1588" s="28"/>
      <c r="D1588" s="28"/>
    </row>
    <row r="1589" customHeight="1" spans="1:4">
      <c r="A1589" s="27"/>
      <c r="B1589" s="28"/>
      <c r="C1589" s="28"/>
      <c r="D1589" s="28"/>
    </row>
    <row r="1590" customHeight="1" spans="1:4">
      <c r="A1590" s="27"/>
      <c r="B1590" s="28"/>
      <c r="C1590" s="28"/>
      <c r="D1590" s="28"/>
    </row>
    <row r="1591" customHeight="1" spans="1:4">
      <c r="A1591" s="27"/>
      <c r="B1591" s="28"/>
      <c r="C1591" s="28"/>
      <c r="D1591" s="28"/>
    </row>
    <row r="1592" customHeight="1" spans="1:4">
      <c r="A1592" s="27"/>
      <c r="B1592" s="28"/>
      <c r="C1592" s="28"/>
      <c r="D1592" s="28"/>
    </row>
    <row r="1593" customHeight="1" spans="1:4">
      <c r="A1593" s="27"/>
      <c r="B1593" s="28"/>
      <c r="C1593" s="28"/>
      <c r="D1593" s="28"/>
    </row>
    <row r="1594" customHeight="1" spans="1:4">
      <c r="A1594" s="27"/>
      <c r="B1594" s="28"/>
      <c r="C1594" s="28"/>
      <c r="D1594" s="28"/>
    </row>
    <row r="1595" customHeight="1" spans="1:4">
      <c r="A1595" s="27"/>
      <c r="B1595" s="28"/>
      <c r="C1595" s="28"/>
      <c r="D1595" s="28"/>
    </row>
    <row r="1596" customHeight="1" spans="1:4">
      <c r="A1596" s="27"/>
      <c r="B1596" s="28"/>
      <c r="C1596" s="28"/>
      <c r="D1596" s="28"/>
    </row>
    <row r="1597" customHeight="1" spans="1:4">
      <c r="A1597" s="27"/>
      <c r="B1597" s="28"/>
      <c r="C1597" s="28"/>
      <c r="D1597" s="28"/>
    </row>
    <row r="1598" customHeight="1" spans="1:4">
      <c r="A1598" s="27"/>
      <c r="B1598" s="28"/>
      <c r="C1598" s="28"/>
      <c r="D1598" s="28"/>
    </row>
    <row r="1599" customHeight="1" spans="1:4">
      <c r="A1599" s="27"/>
      <c r="B1599" s="28"/>
      <c r="C1599" s="28"/>
      <c r="D1599" s="28"/>
    </row>
    <row r="1600" customHeight="1" spans="1:4">
      <c r="A1600" s="27"/>
      <c r="B1600" s="28"/>
      <c r="C1600" s="28"/>
      <c r="D1600" s="28"/>
    </row>
    <row r="1601" customHeight="1" spans="1:4">
      <c r="A1601" s="27"/>
      <c r="B1601" s="28"/>
      <c r="C1601" s="28"/>
      <c r="D1601" s="28"/>
    </row>
    <row r="1602" customHeight="1" spans="1:4">
      <c r="A1602" s="27"/>
      <c r="B1602" s="28"/>
      <c r="C1602" s="28"/>
      <c r="D1602" s="28"/>
    </row>
    <row r="1603" customHeight="1" spans="1:4">
      <c r="A1603" s="27"/>
      <c r="B1603" s="28"/>
      <c r="C1603" s="28"/>
      <c r="D1603" s="28"/>
    </row>
    <row r="1604" customHeight="1" spans="1:4">
      <c r="A1604" s="27"/>
      <c r="B1604" s="28"/>
      <c r="C1604" s="28"/>
      <c r="D1604" s="28"/>
    </row>
    <row r="1605" customHeight="1" spans="1:4">
      <c r="A1605" s="27"/>
      <c r="B1605" s="28"/>
      <c r="C1605" s="28"/>
      <c r="D1605" s="28"/>
    </row>
    <row r="1606" customHeight="1" spans="1:4">
      <c r="A1606" s="27"/>
      <c r="B1606" s="28"/>
      <c r="C1606" s="28"/>
      <c r="D1606" s="28"/>
    </row>
    <row r="1607" customHeight="1" spans="1:4">
      <c r="A1607" s="27"/>
      <c r="B1607" s="28"/>
      <c r="C1607" s="28"/>
      <c r="D1607" s="28"/>
    </row>
    <row r="1608" customHeight="1" spans="1:4">
      <c r="A1608" s="27"/>
      <c r="B1608" s="28"/>
      <c r="C1608" s="28"/>
      <c r="D1608" s="28"/>
    </row>
    <row r="1609" customHeight="1" spans="1:4">
      <c r="A1609" s="27"/>
      <c r="B1609" s="28"/>
      <c r="C1609" s="28"/>
      <c r="D1609" s="28"/>
    </row>
    <row r="1610" customHeight="1" spans="1:4">
      <c r="A1610" s="27"/>
      <c r="B1610" s="28"/>
      <c r="C1610" s="28"/>
      <c r="D1610" s="28"/>
    </row>
    <row r="1611" customHeight="1" spans="1:4">
      <c r="A1611" s="27"/>
      <c r="B1611" s="28"/>
      <c r="C1611" s="28"/>
      <c r="D1611" s="28"/>
    </row>
    <row r="1612" customHeight="1" spans="1:4">
      <c r="A1612" s="27"/>
      <c r="B1612" s="28"/>
      <c r="C1612" s="28"/>
      <c r="D1612" s="28"/>
    </row>
    <row r="1613" customHeight="1" spans="1:4">
      <c r="A1613" s="27"/>
      <c r="B1613" s="28"/>
      <c r="C1613" s="28"/>
      <c r="D1613" s="28"/>
    </row>
    <row r="1614" customHeight="1" spans="1:4">
      <c r="A1614" s="27"/>
      <c r="B1614" s="28"/>
      <c r="C1614" s="28"/>
      <c r="D1614" s="28"/>
    </row>
    <row r="1615" customHeight="1" spans="1:4">
      <c r="A1615" s="27"/>
      <c r="B1615" s="28"/>
      <c r="C1615" s="28"/>
      <c r="D1615" s="28"/>
    </row>
    <row r="1616" customHeight="1" spans="1:4">
      <c r="A1616" s="27"/>
      <c r="B1616" s="28"/>
      <c r="C1616" s="28"/>
      <c r="D1616" s="28"/>
    </row>
    <row r="1617" customHeight="1" spans="1:4">
      <c r="A1617" s="27"/>
      <c r="B1617" s="28"/>
      <c r="C1617" s="28"/>
      <c r="D1617" s="28"/>
    </row>
    <row r="1618" customHeight="1" spans="1:4">
      <c r="A1618" s="27"/>
      <c r="B1618" s="28"/>
      <c r="C1618" s="28"/>
      <c r="D1618" s="28"/>
    </row>
    <row r="1619" customHeight="1" spans="1:4">
      <c r="A1619" s="27"/>
      <c r="B1619" s="28"/>
      <c r="C1619" s="28"/>
      <c r="D1619" s="28"/>
    </row>
    <row r="1620" customHeight="1" spans="1:4">
      <c r="A1620" s="27"/>
      <c r="B1620" s="28"/>
      <c r="C1620" s="28"/>
      <c r="D1620" s="28"/>
    </row>
    <row r="1621" customHeight="1" spans="1:4">
      <c r="A1621" s="27"/>
      <c r="B1621" s="28"/>
      <c r="C1621" s="28"/>
      <c r="D1621" s="28"/>
    </row>
    <row r="1622" customHeight="1" spans="1:4">
      <c r="A1622" s="27"/>
      <c r="B1622" s="28"/>
      <c r="C1622" s="28"/>
      <c r="D1622" s="28"/>
    </row>
    <row r="1623" customHeight="1" spans="1:4">
      <c r="A1623" s="27"/>
      <c r="B1623" s="28"/>
      <c r="C1623" s="28"/>
      <c r="D1623" s="28"/>
    </row>
    <row r="1624" customHeight="1" spans="1:4">
      <c r="A1624" s="27"/>
      <c r="B1624" s="28"/>
      <c r="C1624" s="28"/>
      <c r="D1624" s="28"/>
    </row>
    <row r="1625" customHeight="1" spans="1:4">
      <c r="A1625" s="27"/>
      <c r="B1625" s="28"/>
      <c r="C1625" s="28"/>
      <c r="D1625" s="28"/>
    </row>
    <row r="1626" customHeight="1" spans="1:4">
      <c r="A1626" s="27"/>
      <c r="B1626" s="28"/>
      <c r="C1626" s="28"/>
      <c r="D1626" s="28"/>
    </row>
    <row r="1627" customHeight="1" spans="1:4">
      <c r="A1627" s="27"/>
      <c r="B1627" s="28"/>
      <c r="C1627" s="28"/>
      <c r="D1627" s="28"/>
    </row>
    <row r="1628" customHeight="1" spans="1:4">
      <c r="A1628" s="27"/>
      <c r="B1628" s="28"/>
      <c r="C1628" s="28"/>
      <c r="D1628" s="28"/>
    </row>
    <row r="1629" customHeight="1" spans="1:4">
      <c r="A1629" s="27"/>
      <c r="B1629" s="28"/>
      <c r="C1629" s="28"/>
      <c r="D1629" s="28"/>
    </row>
    <row r="1630" customHeight="1" spans="1:4">
      <c r="A1630" s="27"/>
      <c r="B1630" s="28"/>
      <c r="C1630" s="28"/>
      <c r="D1630" s="28"/>
    </row>
    <row r="1631" customHeight="1" spans="1:4">
      <c r="A1631" s="27"/>
      <c r="B1631" s="28"/>
      <c r="C1631" s="28"/>
      <c r="D1631" s="28"/>
    </row>
    <row r="1632" customHeight="1" spans="1:4">
      <c r="A1632" s="27"/>
      <c r="B1632" s="28"/>
      <c r="C1632" s="28"/>
      <c r="D1632" s="28"/>
    </row>
    <row r="1633" customHeight="1" spans="1:4">
      <c r="A1633" s="27"/>
      <c r="B1633" s="28"/>
      <c r="C1633" s="28"/>
      <c r="D1633" s="28"/>
    </row>
    <row r="1634" customHeight="1" spans="1:4">
      <c r="A1634" s="27"/>
      <c r="B1634" s="28"/>
      <c r="C1634" s="28"/>
      <c r="D1634" s="28"/>
    </row>
    <row r="1635" customHeight="1" spans="1:4">
      <c r="A1635" s="27"/>
      <c r="B1635" s="28"/>
      <c r="C1635" s="28"/>
      <c r="D1635" s="28"/>
    </row>
    <row r="1636" customHeight="1" spans="1:4">
      <c r="A1636" s="27"/>
      <c r="B1636" s="28"/>
      <c r="C1636" s="28"/>
      <c r="D1636" s="28"/>
    </row>
    <row r="1637" customHeight="1" spans="1:4">
      <c r="A1637" s="27"/>
      <c r="B1637" s="28"/>
      <c r="C1637" s="28"/>
      <c r="D1637" s="28"/>
    </row>
    <row r="1638" customHeight="1" spans="1:4">
      <c r="A1638" s="27"/>
      <c r="B1638" s="28"/>
      <c r="C1638" s="28"/>
      <c r="D1638" s="28"/>
    </row>
    <row r="1639" customHeight="1" spans="1:4">
      <c r="A1639" s="27"/>
      <c r="B1639" s="28"/>
      <c r="C1639" s="28"/>
      <c r="D1639" s="28"/>
    </row>
    <row r="1640" customHeight="1" spans="1:4">
      <c r="A1640" s="27"/>
      <c r="B1640" s="28"/>
      <c r="C1640" s="28"/>
      <c r="D1640" s="28"/>
    </row>
    <row r="1641" customHeight="1" spans="1:4">
      <c r="A1641" s="27"/>
      <c r="B1641" s="28"/>
      <c r="C1641" s="28"/>
      <c r="D1641" s="28"/>
    </row>
    <row r="1642" customHeight="1" spans="1:4">
      <c r="A1642" s="27"/>
      <c r="B1642" s="28"/>
      <c r="C1642" s="28"/>
      <c r="D1642" s="28"/>
    </row>
    <row r="1643" customHeight="1" spans="1:4">
      <c r="A1643" s="27"/>
      <c r="B1643" s="28"/>
      <c r="C1643" s="28"/>
      <c r="D1643" s="28"/>
    </row>
    <row r="1644" customHeight="1" spans="1:4">
      <c r="A1644" s="27"/>
      <c r="B1644" s="28"/>
      <c r="C1644" s="28"/>
      <c r="D1644" s="28"/>
    </row>
    <row r="1645" customHeight="1" spans="1:4">
      <c r="A1645" s="27"/>
      <c r="B1645" s="28"/>
      <c r="C1645" s="28"/>
      <c r="D1645" s="28"/>
    </row>
    <row r="1646" customHeight="1" spans="1:4">
      <c r="A1646" s="27"/>
      <c r="B1646" s="28"/>
      <c r="C1646" s="28"/>
      <c r="D1646" s="28"/>
    </row>
    <row r="1647" customHeight="1" spans="1:4">
      <c r="A1647" s="27"/>
      <c r="B1647" s="28"/>
      <c r="C1647" s="28"/>
      <c r="D1647" s="28"/>
    </row>
    <row r="1648" customHeight="1" spans="1:4">
      <c r="A1648" s="27"/>
      <c r="B1648" s="28"/>
      <c r="C1648" s="28"/>
      <c r="D1648" s="28"/>
    </row>
    <row r="1649" customHeight="1" spans="1:4">
      <c r="A1649" s="27"/>
      <c r="B1649" s="28"/>
      <c r="C1649" s="28"/>
      <c r="D1649" s="28"/>
    </row>
    <row r="1650" customHeight="1" spans="1:4">
      <c r="A1650" s="27"/>
      <c r="B1650" s="28"/>
      <c r="C1650" s="28"/>
      <c r="D1650" s="28"/>
    </row>
    <row r="1651" customHeight="1" spans="1:4">
      <c r="A1651" s="27"/>
      <c r="B1651" s="28"/>
      <c r="C1651" s="28"/>
      <c r="D1651" s="28"/>
    </row>
    <row r="1652" customHeight="1" spans="1:4">
      <c r="A1652" s="27"/>
      <c r="B1652" s="28"/>
      <c r="C1652" s="28"/>
      <c r="D1652" s="28"/>
    </row>
    <row r="1653" customHeight="1" spans="1:4">
      <c r="A1653" s="27"/>
      <c r="B1653" s="28"/>
      <c r="C1653" s="28"/>
      <c r="D1653" s="28"/>
    </row>
    <row r="1654" customHeight="1" spans="1:4">
      <c r="A1654" s="27"/>
      <c r="B1654" s="28"/>
      <c r="C1654" s="28"/>
      <c r="D1654" s="28"/>
    </row>
    <row r="1655" customHeight="1" spans="1:4">
      <c r="A1655" s="27"/>
      <c r="B1655" s="28"/>
      <c r="C1655" s="28"/>
      <c r="D1655" s="28"/>
    </row>
    <row r="1656" customHeight="1" spans="1:4">
      <c r="A1656" s="27"/>
      <c r="B1656" s="28"/>
      <c r="C1656" s="28"/>
      <c r="D1656" s="28"/>
    </row>
    <row r="1657" customHeight="1" spans="1:4">
      <c r="A1657" s="27"/>
      <c r="B1657" s="28"/>
      <c r="C1657" s="28"/>
      <c r="D1657" s="28"/>
    </row>
    <row r="1658" customHeight="1" spans="1:4">
      <c r="A1658" s="27"/>
      <c r="B1658" s="28"/>
      <c r="C1658" s="28"/>
      <c r="D1658" s="28"/>
    </row>
    <row r="1659" customHeight="1" spans="1:4">
      <c r="A1659" s="27"/>
      <c r="B1659" s="28"/>
      <c r="C1659" s="28"/>
      <c r="D1659" s="28"/>
    </row>
    <row r="1660" customHeight="1" spans="1:4">
      <c r="A1660" s="27"/>
      <c r="B1660" s="28"/>
      <c r="C1660" s="28"/>
      <c r="D1660" s="28"/>
    </row>
    <row r="1661" customHeight="1" spans="1:4">
      <c r="A1661" s="27"/>
      <c r="B1661" s="28"/>
      <c r="C1661" s="28"/>
      <c r="D1661" s="28"/>
    </row>
    <row r="1662" customHeight="1" spans="1:4">
      <c r="A1662" s="27"/>
      <c r="B1662" s="28"/>
      <c r="C1662" s="28"/>
      <c r="D1662" s="28"/>
    </row>
    <row r="1663" customHeight="1" spans="1:4">
      <c r="A1663" s="27"/>
      <c r="B1663" s="28"/>
      <c r="C1663" s="28"/>
      <c r="D1663" s="28"/>
    </row>
    <row r="1664" customHeight="1" spans="1:4">
      <c r="A1664" s="27"/>
      <c r="B1664" s="28"/>
      <c r="C1664" s="28"/>
      <c r="D1664" s="28"/>
    </row>
    <row r="1665" customHeight="1" spans="1:4">
      <c r="A1665" s="27"/>
      <c r="B1665" s="28"/>
      <c r="C1665" s="28"/>
      <c r="D1665" s="28"/>
    </row>
    <row r="1666" customHeight="1" spans="1:4">
      <c r="A1666" s="27"/>
      <c r="B1666" s="28"/>
      <c r="C1666" s="28"/>
      <c r="D1666" s="28"/>
    </row>
    <row r="1667" customHeight="1" spans="1:4">
      <c r="A1667" s="27"/>
      <c r="B1667" s="28"/>
      <c r="C1667" s="28"/>
      <c r="D1667" s="28"/>
    </row>
    <row r="1668" customHeight="1" spans="1:4">
      <c r="A1668" s="27"/>
      <c r="B1668" s="28"/>
      <c r="C1668" s="28"/>
      <c r="D1668" s="28"/>
    </row>
    <row r="1669" customHeight="1" spans="1:4">
      <c r="A1669" s="27"/>
      <c r="B1669" s="28"/>
      <c r="C1669" s="28"/>
      <c r="D1669" s="28"/>
    </row>
    <row r="1670" customHeight="1" spans="1:4">
      <c r="A1670" s="27"/>
      <c r="B1670" s="28"/>
      <c r="C1670" s="28"/>
      <c r="D1670" s="28"/>
    </row>
    <row r="1671" customHeight="1" spans="1:4">
      <c r="A1671" s="27"/>
      <c r="B1671" s="28"/>
      <c r="C1671" s="28"/>
      <c r="D1671" s="28"/>
    </row>
    <row r="1672" customHeight="1" spans="1:4">
      <c r="A1672" s="27"/>
      <c r="B1672" s="28"/>
      <c r="C1672" s="28"/>
      <c r="D1672" s="28"/>
    </row>
    <row r="1673" customHeight="1" spans="1:4">
      <c r="A1673" s="27"/>
      <c r="B1673" s="28"/>
      <c r="C1673" s="28"/>
      <c r="D1673" s="28"/>
    </row>
    <row r="1674" customHeight="1" spans="1:4">
      <c r="A1674" s="27"/>
      <c r="B1674" s="28"/>
      <c r="C1674" s="28"/>
      <c r="D1674" s="28"/>
    </row>
    <row r="1675" customHeight="1" spans="1:4">
      <c r="A1675" s="27"/>
      <c r="B1675" s="28"/>
      <c r="C1675" s="28"/>
      <c r="D1675" s="28"/>
    </row>
    <row r="1676" customHeight="1" spans="1:4">
      <c r="A1676" s="27"/>
      <c r="B1676" s="28"/>
      <c r="C1676" s="28"/>
      <c r="D1676" s="28"/>
    </row>
    <row r="1677" customHeight="1" spans="1:4">
      <c r="A1677" s="27"/>
      <c r="B1677" s="28"/>
      <c r="C1677" s="28"/>
      <c r="D1677" s="28"/>
    </row>
    <row r="1678" customHeight="1" spans="1:4">
      <c r="A1678" s="27"/>
      <c r="B1678" s="28"/>
      <c r="C1678" s="28"/>
      <c r="D1678" s="28"/>
    </row>
    <row r="1679" customHeight="1" spans="1:4">
      <c r="A1679" s="27"/>
      <c r="B1679" s="28"/>
      <c r="C1679" s="28"/>
      <c r="D1679" s="28"/>
    </row>
    <row r="1680" customHeight="1" spans="1:4">
      <c r="A1680" s="27"/>
      <c r="B1680" s="28"/>
      <c r="C1680" s="28"/>
      <c r="D1680" s="28"/>
    </row>
    <row r="1681" customHeight="1" spans="1:4">
      <c r="A1681" s="27"/>
      <c r="B1681" s="28"/>
      <c r="C1681" s="28"/>
      <c r="D1681" s="28"/>
    </row>
    <row r="1682" customHeight="1" spans="1:4">
      <c r="A1682" s="27"/>
      <c r="B1682" s="28"/>
      <c r="C1682" s="28"/>
      <c r="D1682" s="28"/>
    </row>
    <row r="1683" customHeight="1" spans="1:4">
      <c r="A1683" s="27"/>
      <c r="B1683" s="28"/>
      <c r="C1683" s="28"/>
      <c r="D1683" s="28"/>
    </row>
    <row r="1684" customHeight="1" spans="1:4">
      <c r="A1684" s="27"/>
      <c r="B1684" s="28"/>
      <c r="C1684" s="28"/>
      <c r="D1684" s="28"/>
    </row>
    <row r="1685" customHeight="1" spans="1:4">
      <c r="A1685" s="27"/>
      <c r="B1685" s="28"/>
      <c r="C1685" s="28"/>
      <c r="D1685" s="28"/>
    </row>
    <row r="1686" customHeight="1" spans="1:4">
      <c r="A1686" s="27"/>
      <c r="B1686" s="28"/>
      <c r="C1686" s="28"/>
      <c r="D1686" s="28"/>
    </row>
    <row r="1687" customHeight="1" spans="1:4">
      <c r="A1687" s="27"/>
      <c r="B1687" s="28"/>
      <c r="C1687" s="28"/>
      <c r="D1687" s="28"/>
    </row>
    <row r="1688" customHeight="1" spans="1:4">
      <c r="A1688" s="27"/>
      <c r="B1688" s="28"/>
      <c r="C1688" s="28"/>
      <c r="D1688" s="28"/>
    </row>
    <row r="1689" customHeight="1" spans="1:4">
      <c r="A1689" s="27"/>
      <c r="B1689" s="28"/>
      <c r="C1689" s="28"/>
      <c r="D1689" s="28"/>
    </row>
    <row r="1690" customHeight="1" spans="1:4">
      <c r="A1690" s="27"/>
      <c r="B1690" s="28"/>
      <c r="C1690" s="28"/>
      <c r="D1690" s="28"/>
    </row>
    <row r="1691" customHeight="1" spans="1:4">
      <c r="A1691" s="27"/>
      <c r="B1691" s="28"/>
      <c r="C1691" s="28"/>
      <c r="D1691" s="28"/>
    </row>
    <row r="1692" customHeight="1" spans="1:4">
      <c r="A1692" s="27"/>
      <c r="B1692" s="28"/>
      <c r="C1692" s="28"/>
      <c r="D1692" s="28"/>
    </row>
    <row r="1693" customHeight="1" spans="1:4">
      <c r="A1693" s="27"/>
      <c r="B1693" s="28"/>
      <c r="C1693" s="28"/>
      <c r="D1693" s="28"/>
    </row>
    <row r="1694" customHeight="1" spans="1:4">
      <c r="A1694" s="27"/>
      <c r="B1694" s="28"/>
      <c r="C1694" s="28"/>
      <c r="D1694" s="28"/>
    </row>
    <row r="1695" customHeight="1" spans="1:4">
      <c r="A1695" s="27"/>
      <c r="B1695" s="28"/>
      <c r="C1695" s="28"/>
      <c r="D1695" s="28"/>
    </row>
    <row r="1696" customHeight="1" spans="1:4">
      <c r="A1696" s="27"/>
      <c r="B1696" s="28"/>
      <c r="C1696" s="28"/>
      <c r="D1696" s="28"/>
    </row>
    <row r="1697" customHeight="1" spans="1:4">
      <c r="A1697" s="27"/>
      <c r="B1697" s="28"/>
      <c r="C1697" s="28"/>
      <c r="D1697" s="28"/>
    </row>
    <row r="1698" customHeight="1" spans="1:4">
      <c r="A1698" s="27"/>
      <c r="B1698" s="28"/>
      <c r="C1698" s="28"/>
      <c r="D1698" s="28"/>
    </row>
    <row r="1699" customHeight="1" spans="1:4">
      <c r="A1699" s="27"/>
      <c r="B1699" s="28"/>
      <c r="C1699" s="28"/>
      <c r="D1699" s="28"/>
    </row>
    <row r="1700" customHeight="1" spans="1:4">
      <c r="A1700" s="27"/>
      <c r="B1700" s="28"/>
      <c r="C1700" s="28"/>
      <c r="D1700" s="28"/>
    </row>
    <row r="1701" customHeight="1" spans="1:4">
      <c r="A1701" s="27"/>
      <c r="B1701" s="28"/>
      <c r="C1701" s="28"/>
      <c r="D1701" s="28"/>
    </row>
    <row r="1702" customHeight="1" spans="1:4">
      <c r="A1702" s="27"/>
      <c r="B1702" s="28"/>
      <c r="C1702" s="28"/>
      <c r="D1702" s="28"/>
    </row>
    <row r="1703" customHeight="1" spans="1:4">
      <c r="A1703" s="27"/>
      <c r="B1703" s="28"/>
      <c r="C1703" s="28"/>
      <c r="D1703" s="28"/>
    </row>
    <row r="1704" customHeight="1" spans="1:4">
      <c r="A1704" s="27"/>
      <c r="B1704" s="28"/>
      <c r="C1704" s="28"/>
      <c r="D1704" s="28"/>
    </row>
    <row r="1705" customHeight="1" spans="1:4">
      <c r="A1705" s="27"/>
      <c r="B1705" s="28"/>
      <c r="C1705" s="28"/>
      <c r="D1705" s="28"/>
    </row>
    <row r="1706" customHeight="1" spans="1:4">
      <c r="A1706" s="27"/>
      <c r="B1706" s="28"/>
      <c r="C1706" s="28"/>
      <c r="D1706" s="28"/>
    </row>
    <row r="1707" customHeight="1" spans="1:4">
      <c r="A1707" s="27"/>
      <c r="B1707" s="28"/>
      <c r="C1707" s="28"/>
      <c r="D1707" s="28"/>
    </row>
    <row r="1708" customHeight="1" spans="1:4">
      <c r="A1708" s="27"/>
      <c r="B1708" s="28"/>
      <c r="C1708" s="28"/>
      <c r="D1708" s="28"/>
    </row>
    <row r="1709" customHeight="1" spans="1:4">
      <c r="A1709" s="27"/>
      <c r="B1709" s="28"/>
      <c r="C1709" s="28"/>
      <c r="D1709" s="28"/>
    </row>
    <row r="1710" customHeight="1" spans="1:4">
      <c r="A1710" s="27"/>
      <c r="B1710" s="28"/>
      <c r="C1710" s="28"/>
      <c r="D1710" s="28"/>
    </row>
    <row r="1711" customHeight="1" spans="1:4">
      <c r="A1711" s="27"/>
      <c r="B1711" s="28"/>
      <c r="C1711" s="28"/>
      <c r="D1711" s="28"/>
    </row>
    <row r="1712" customHeight="1" spans="1:4">
      <c r="A1712" s="27"/>
      <c r="B1712" s="28"/>
      <c r="C1712" s="28"/>
      <c r="D1712" s="28"/>
    </row>
    <row r="1713" customHeight="1" spans="1:4">
      <c r="A1713" s="27"/>
      <c r="B1713" s="28"/>
      <c r="C1713" s="28"/>
      <c r="D1713" s="28"/>
    </row>
    <row r="1714" customHeight="1" spans="1:4">
      <c r="A1714" s="27"/>
      <c r="B1714" s="28"/>
      <c r="C1714" s="28"/>
      <c r="D1714" s="28"/>
    </row>
    <row r="1715" customHeight="1" spans="1:4">
      <c r="A1715" s="27"/>
      <c r="B1715" s="28"/>
      <c r="C1715" s="28"/>
      <c r="D1715" s="28"/>
    </row>
    <row r="1716" customHeight="1" spans="1:4">
      <c r="A1716" s="27"/>
      <c r="B1716" s="28"/>
      <c r="C1716" s="28"/>
      <c r="D1716" s="28"/>
    </row>
    <row r="1717" customHeight="1" spans="1:4">
      <c r="A1717" s="27"/>
      <c r="B1717" s="28"/>
      <c r="C1717" s="28"/>
      <c r="D1717" s="28"/>
    </row>
    <row r="1718" customHeight="1" spans="1:4">
      <c r="A1718" s="27"/>
      <c r="B1718" s="28"/>
      <c r="C1718" s="28"/>
      <c r="D1718" s="28"/>
    </row>
    <row r="1719" customHeight="1" spans="1:4">
      <c r="A1719" s="27"/>
      <c r="B1719" s="28"/>
      <c r="C1719" s="28"/>
      <c r="D1719" s="28"/>
    </row>
    <row r="1720" customHeight="1" spans="1:4">
      <c r="A1720" s="27"/>
      <c r="B1720" s="28"/>
      <c r="C1720" s="28"/>
      <c r="D1720" s="28"/>
    </row>
    <row r="1721" customHeight="1" spans="1:4">
      <c r="A1721" s="27"/>
      <c r="B1721" s="28"/>
      <c r="C1721" s="28"/>
      <c r="D1721" s="28"/>
    </row>
    <row r="1722" customHeight="1" spans="1:4">
      <c r="A1722" s="27"/>
      <c r="B1722" s="28"/>
      <c r="C1722" s="28"/>
      <c r="D1722" s="28"/>
    </row>
    <row r="1723" customHeight="1" spans="1:4">
      <c r="A1723" s="27"/>
      <c r="B1723" s="28"/>
      <c r="C1723" s="28"/>
      <c r="D1723" s="28"/>
    </row>
    <row r="1724" customHeight="1" spans="1:4">
      <c r="A1724" s="27"/>
      <c r="B1724" s="28"/>
      <c r="C1724" s="28"/>
      <c r="D1724" s="28"/>
    </row>
    <row r="1725" customHeight="1" spans="1:4">
      <c r="A1725" s="27"/>
      <c r="B1725" s="28"/>
      <c r="C1725" s="28"/>
      <c r="D1725" s="28"/>
    </row>
    <row r="1726" customHeight="1" spans="1:4">
      <c r="A1726" s="27"/>
      <c r="B1726" s="28"/>
      <c r="C1726" s="28"/>
      <c r="D1726" s="28"/>
    </row>
    <row r="1727" customHeight="1" spans="1:4">
      <c r="A1727" s="27"/>
      <c r="B1727" s="28"/>
      <c r="C1727" s="28"/>
      <c r="D1727" s="28"/>
    </row>
    <row r="1728" customHeight="1" spans="1:4">
      <c r="A1728" s="27"/>
      <c r="B1728" s="28"/>
      <c r="C1728" s="28"/>
      <c r="D1728" s="28"/>
    </row>
    <row r="1729" customHeight="1" spans="1:4">
      <c r="A1729" s="27"/>
      <c r="B1729" s="28"/>
      <c r="C1729" s="28"/>
      <c r="D1729" s="28"/>
    </row>
    <row r="1730" customHeight="1" spans="1:4">
      <c r="A1730" s="27"/>
      <c r="B1730" s="28"/>
      <c r="C1730" s="28"/>
      <c r="D1730" s="28"/>
    </row>
    <row r="1731" customHeight="1" spans="1:4">
      <c r="A1731" s="27"/>
      <c r="B1731" s="28"/>
      <c r="C1731" s="28"/>
      <c r="D1731" s="28"/>
    </row>
    <row r="1732" customHeight="1" spans="1:4">
      <c r="A1732" s="27"/>
      <c r="B1732" s="28"/>
      <c r="C1732" s="28"/>
      <c r="D1732" s="28"/>
    </row>
    <row r="1733" customHeight="1" spans="1:4">
      <c r="A1733" s="27"/>
      <c r="B1733" s="28"/>
      <c r="C1733" s="28"/>
      <c r="D1733" s="28"/>
    </row>
    <row r="1734" customHeight="1" spans="1:4">
      <c r="A1734" s="27"/>
      <c r="B1734" s="28"/>
      <c r="C1734" s="28"/>
      <c r="D1734" s="28"/>
    </row>
    <row r="1735" customHeight="1" spans="1:4">
      <c r="A1735" s="27"/>
      <c r="B1735" s="28"/>
      <c r="C1735" s="28"/>
      <c r="D1735" s="28"/>
    </row>
    <row r="1736" customHeight="1" spans="1:4">
      <c r="A1736" s="27"/>
      <c r="B1736" s="28"/>
      <c r="C1736" s="28"/>
      <c r="D1736" s="28"/>
    </row>
    <row r="1737" customHeight="1" spans="1:4">
      <c r="A1737" s="27"/>
      <c r="B1737" s="28"/>
      <c r="C1737" s="28"/>
      <c r="D1737" s="28"/>
    </row>
    <row r="1738" customHeight="1" spans="1:4">
      <c r="A1738" s="27"/>
      <c r="B1738" s="28"/>
      <c r="C1738" s="28"/>
      <c r="D1738" s="28"/>
    </row>
    <row r="1739" customHeight="1" spans="1:4">
      <c r="A1739" s="27"/>
      <c r="B1739" s="28"/>
      <c r="C1739" s="28"/>
      <c r="D1739" s="28"/>
    </row>
    <row r="1740" customHeight="1" spans="1:4">
      <c r="A1740" s="27"/>
      <c r="B1740" s="28"/>
      <c r="C1740" s="28"/>
      <c r="D1740" s="28"/>
    </row>
    <row r="1741" customHeight="1" spans="1:4">
      <c r="A1741" s="27"/>
      <c r="B1741" s="28"/>
      <c r="C1741" s="28"/>
      <c r="D1741" s="28"/>
    </row>
    <row r="1742" customHeight="1" spans="1:4">
      <c r="A1742" s="27"/>
      <c r="B1742" s="28"/>
      <c r="C1742" s="28"/>
      <c r="D1742" s="28"/>
    </row>
    <row r="1743" customHeight="1" spans="1:4">
      <c r="A1743" s="27"/>
      <c r="B1743" s="28"/>
      <c r="C1743" s="28"/>
      <c r="D1743" s="28"/>
    </row>
    <row r="1744" customHeight="1" spans="1:4">
      <c r="A1744" s="27"/>
      <c r="B1744" s="28"/>
      <c r="C1744" s="28"/>
      <c r="D1744" s="28"/>
    </row>
    <row r="1745" customHeight="1" spans="1:4">
      <c r="A1745" s="27"/>
      <c r="B1745" s="28"/>
      <c r="C1745" s="28"/>
      <c r="D1745" s="28"/>
    </row>
    <row r="1746" customHeight="1" spans="1:4">
      <c r="A1746" s="27"/>
      <c r="B1746" s="28"/>
      <c r="C1746" s="28"/>
      <c r="D1746" s="28"/>
    </row>
    <row r="1747" customHeight="1" spans="1:4">
      <c r="A1747" s="27"/>
      <c r="B1747" s="28"/>
      <c r="C1747" s="28"/>
      <c r="D1747" s="28"/>
    </row>
    <row r="1748" customHeight="1" spans="1:4">
      <c r="A1748" s="27"/>
      <c r="B1748" s="28"/>
      <c r="C1748" s="28"/>
      <c r="D1748" s="28"/>
    </row>
    <row r="1749" customHeight="1" spans="1:4">
      <c r="A1749" s="27"/>
      <c r="B1749" s="28"/>
      <c r="C1749" s="28"/>
      <c r="D1749" s="28"/>
    </row>
    <row r="1750" customHeight="1" spans="1:4">
      <c r="A1750" s="27"/>
      <c r="B1750" s="28"/>
      <c r="C1750" s="28"/>
      <c r="D1750" s="28"/>
    </row>
    <row r="1751" customHeight="1" spans="1:4">
      <c r="A1751" s="27"/>
      <c r="B1751" s="28"/>
      <c r="C1751" s="28"/>
      <c r="D1751" s="28"/>
    </row>
    <row r="1752" customHeight="1" spans="1:4">
      <c r="A1752" s="27"/>
      <c r="B1752" s="28"/>
      <c r="C1752" s="28"/>
      <c r="D1752" s="28"/>
    </row>
    <row r="1753" customHeight="1" spans="1:4">
      <c r="A1753" s="27"/>
      <c r="B1753" s="28"/>
      <c r="C1753" s="28"/>
      <c r="D1753" s="28"/>
    </row>
    <row r="1754" customHeight="1" spans="1:4">
      <c r="A1754" s="27"/>
      <c r="B1754" s="28"/>
      <c r="C1754" s="28"/>
      <c r="D1754" s="28"/>
    </row>
    <row r="1755" customHeight="1" spans="1:4">
      <c r="A1755" s="27"/>
      <c r="B1755" s="28"/>
      <c r="C1755" s="28"/>
      <c r="D1755" s="28"/>
    </row>
    <row r="1756" customHeight="1" spans="1:4">
      <c r="A1756" s="27"/>
      <c r="B1756" s="28"/>
      <c r="C1756" s="28"/>
      <c r="D1756" s="28"/>
    </row>
    <row r="1757" customHeight="1" spans="1:4">
      <c r="A1757" s="27"/>
      <c r="B1757" s="28"/>
      <c r="C1757" s="28"/>
      <c r="D1757" s="28"/>
    </row>
    <row r="1758" customHeight="1" spans="1:4">
      <c r="A1758" s="27"/>
      <c r="B1758" s="28"/>
      <c r="C1758" s="28"/>
      <c r="D1758" s="28"/>
    </row>
    <row r="1759" customHeight="1" spans="1:4">
      <c r="A1759" s="27"/>
      <c r="B1759" s="28"/>
      <c r="C1759" s="28"/>
      <c r="D1759" s="28"/>
    </row>
    <row r="1760" customHeight="1" spans="1:4">
      <c r="A1760" s="27"/>
      <c r="B1760" s="28"/>
      <c r="C1760" s="28"/>
      <c r="D1760" s="28"/>
    </row>
    <row r="1761" customHeight="1" spans="1:4">
      <c r="A1761" s="27"/>
      <c r="B1761" s="28"/>
      <c r="C1761" s="28"/>
      <c r="D1761" s="28"/>
    </row>
    <row r="1762" customHeight="1" spans="1:4">
      <c r="A1762" s="27"/>
      <c r="B1762" s="28"/>
      <c r="C1762" s="28"/>
      <c r="D1762" s="28"/>
    </row>
    <row r="1763" customHeight="1" spans="1:4">
      <c r="A1763" s="27"/>
      <c r="B1763" s="28"/>
      <c r="C1763" s="28"/>
      <c r="D1763" s="28"/>
    </row>
    <row r="1764" customHeight="1" spans="1:4">
      <c r="A1764" s="27"/>
      <c r="B1764" s="28"/>
      <c r="C1764" s="28"/>
      <c r="D1764" s="28"/>
    </row>
    <row r="1765" customHeight="1" spans="1:4">
      <c r="A1765" s="27"/>
      <c r="B1765" s="28"/>
      <c r="C1765" s="28"/>
      <c r="D1765" s="28"/>
    </row>
    <row r="1766" customHeight="1" spans="1:4">
      <c r="A1766" s="27"/>
      <c r="B1766" s="28"/>
      <c r="C1766" s="28"/>
      <c r="D1766" s="28"/>
    </row>
    <row r="1767" customHeight="1" spans="1:4">
      <c r="A1767" s="27"/>
      <c r="B1767" s="28"/>
      <c r="C1767" s="28"/>
      <c r="D1767" s="28"/>
    </row>
    <row r="1768" customHeight="1" spans="1:4">
      <c r="A1768" s="27"/>
      <c r="B1768" s="28"/>
      <c r="C1768" s="28"/>
      <c r="D1768" s="28"/>
    </row>
    <row r="1769" customHeight="1" spans="1:4">
      <c r="A1769" s="27"/>
      <c r="B1769" s="28"/>
      <c r="C1769" s="28"/>
      <c r="D1769" s="28"/>
    </row>
    <row r="1770" customHeight="1" spans="1:4">
      <c r="A1770" s="27"/>
      <c r="B1770" s="28"/>
      <c r="C1770" s="28"/>
      <c r="D1770" s="28"/>
    </row>
    <row r="1771" customHeight="1" spans="1:4">
      <c r="A1771" s="27"/>
      <c r="B1771" s="28"/>
      <c r="C1771" s="28"/>
      <c r="D1771" s="28"/>
    </row>
    <row r="1772" customHeight="1" spans="1:4">
      <c r="A1772" s="27"/>
      <c r="B1772" s="28"/>
      <c r="C1772" s="28"/>
      <c r="D1772" s="28"/>
    </row>
    <row r="1773" customHeight="1" spans="1:4">
      <c r="A1773" s="27"/>
      <c r="B1773" s="28"/>
      <c r="C1773" s="28"/>
      <c r="D1773" s="28"/>
    </row>
    <row r="1774" customHeight="1" spans="1:4">
      <c r="A1774" s="27"/>
      <c r="B1774" s="28"/>
      <c r="C1774" s="28"/>
      <c r="D1774" s="28"/>
    </row>
    <row r="1775" customHeight="1" spans="1:4">
      <c r="A1775" s="27"/>
      <c r="B1775" s="28"/>
      <c r="C1775" s="28"/>
      <c r="D1775" s="28"/>
    </row>
    <row r="1776" customHeight="1" spans="1:4">
      <c r="A1776" s="27"/>
      <c r="B1776" s="28"/>
      <c r="C1776" s="28"/>
      <c r="D1776" s="28"/>
    </row>
    <row r="1777" customHeight="1" spans="1:4">
      <c r="A1777" s="27"/>
      <c r="B1777" s="28"/>
      <c r="C1777" s="28"/>
      <c r="D1777" s="28"/>
    </row>
    <row r="1778" customHeight="1" spans="1:4">
      <c r="A1778" s="27"/>
      <c r="B1778" s="28"/>
      <c r="C1778" s="28"/>
      <c r="D1778" s="28"/>
    </row>
    <row r="1779" customHeight="1" spans="1:4">
      <c r="A1779" s="27"/>
      <c r="B1779" s="28"/>
      <c r="C1779" s="28"/>
      <c r="D1779" s="28"/>
    </row>
    <row r="1780" customHeight="1" spans="1:4">
      <c r="A1780" s="27"/>
      <c r="B1780" s="28"/>
      <c r="C1780" s="28"/>
      <c r="D1780" s="28"/>
    </row>
    <row r="1781" customHeight="1" spans="1:4">
      <c r="A1781" s="27"/>
      <c r="B1781" s="28"/>
      <c r="C1781" s="28"/>
      <c r="D1781" s="28"/>
    </row>
    <row r="1782" customHeight="1" spans="1:4">
      <c r="A1782" s="27"/>
      <c r="B1782" s="28"/>
      <c r="C1782" s="28"/>
      <c r="D1782" s="28"/>
    </row>
    <row r="1783" customHeight="1" spans="1:4">
      <c r="A1783" s="27"/>
      <c r="B1783" s="28"/>
      <c r="C1783" s="28"/>
      <c r="D1783" s="28"/>
    </row>
    <row r="1784" customHeight="1" spans="1:4">
      <c r="A1784" s="27"/>
      <c r="B1784" s="28"/>
      <c r="C1784" s="28"/>
      <c r="D1784" s="28"/>
    </row>
    <row r="1785" customHeight="1" spans="1:4">
      <c r="A1785" s="27"/>
      <c r="B1785" s="28"/>
      <c r="C1785" s="28"/>
      <c r="D1785" s="28"/>
    </row>
    <row r="1786" customHeight="1" spans="1:4">
      <c r="A1786" s="27"/>
      <c r="B1786" s="28"/>
      <c r="C1786" s="28"/>
      <c r="D1786" s="28"/>
    </row>
    <row r="1787" customHeight="1" spans="1:4">
      <c r="A1787" s="27"/>
      <c r="B1787" s="28"/>
      <c r="C1787" s="28"/>
      <c r="D1787" s="28"/>
    </row>
    <row r="1788" customHeight="1" spans="1:4">
      <c r="A1788" s="27"/>
      <c r="B1788" s="28"/>
      <c r="C1788" s="28"/>
      <c r="D1788" s="28"/>
    </row>
    <row r="1789" customHeight="1" spans="1:4">
      <c r="A1789" s="27"/>
      <c r="B1789" s="28"/>
      <c r="C1789" s="28"/>
      <c r="D1789" s="28"/>
    </row>
    <row r="1790" customHeight="1" spans="1:4">
      <c r="A1790" s="27"/>
      <c r="B1790" s="28"/>
      <c r="C1790" s="28"/>
      <c r="D1790" s="28"/>
    </row>
    <row r="1791" customHeight="1" spans="1:4">
      <c r="A1791" s="27"/>
      <c r="B1791" s="28"/>
      <c r="C1791" s="28"/>
      <c r="D1791" s="28"/>
    </row>
    <row r="1792" customHeight="1" spans="1:4">
      <c r="A1792" s="27"/>
      <c r="B1792" s="28"/>
      <c r="C1792" s="28"/>
      <c r="D1792" s="28"/>
    </row>
    <row r="1793" customHeight="1" spans="1:4">
      <c r="A1793" s="27"/>
      <c r="B1793" s="28"/>
      <c r="C1793" s="28"/>
      <c r="D1793" s="28"/>
    </row>
    <row r="1794" customHeight="1" spans="1:4">
      <c r="A1794" s="27"/>
      <c r="B1794" s="28"/>
      <c r="C1794" s="28"/>
      <c r="D1794" s="28"/>
    </row>
    <row r="1795" customHeight="1" spans="1:4">
      <c r="A1795" s="27"/>
      <c r="B1795" s="28"/>
      <c r="C1795" s="28"/>
      <c r="D1795" s="28"/>
    </row>
    <row r="1796" customHeight="1" spans="1:4">
      <c r="A1796" s="27"/>
      <c r="B1796" s="28"/>
      <c r="C1796" s="28"/>
      <c r="D1796" s="28"/>
    </row>
    <row r="1797" customHeight="1" spans="1:4">
      <c r="A1797" s="27"/>
      <c r="B1797" s="28"/>
      <c r="C1797" s="28"/>
      <c r="D1797" s="28"/>
    </row>
    <row r="1798" customHeight="1" spans="1:4">
      <c r="A1798" s="27"/>
      <c r="B1798" s="28"/>
      <c r="C1798" s="28"/>
      <c r="D1798" s="28"/>
    </row>
    <row r="1799" customHeight="1" spans="1:4">
      <c r="A1799" s="27"/>
      <c r="B1799" s="28"/>
      <c r="C1799" s="28"/>
      <c r="D1799" s="28"/>
    </row>
    <row r="1800" customHeight="1" spans="1:4">
      <c r="A1800" s="27"/>
      <c r="B1800" s="28"/>
      <c r="C1800" s="28"/>
      <c r="D1800" s="28"/>
    </row>
    <row r="1801" customHeight="1" spans="1:4">
      <c r="A1801" s="27"/>
      <c r="B1801" s="28"/>
      <c r="C1801" s="28"/>
      <c r="D1801" s="28"/>
    </row>
    <row r="1802" customHeight="1" spans="1:4">
      <c r="A1802" s="27"/>
      <c r="B1802" s="28"/>
      <c r="C1802" s="28"/>
      <c r="D1802" s="28"/>
    </row>
    <row r="1803" customHeight="1" spans="1:4">
      <c r="A1803" s="27"/>
      <c r="B1803" s="28"/>
      <c r="C1803" s="28"/>
      <c r="D1803" s="28"/>
    </row>
    <row r="1804" customHeight="1" spans="1:4">
      <c r="A1804" s="27"/>
      <c r="B1804" s="28"/>
      <c r="C1804" s="28"/>
      <c r="D1804" s="28"/>
    </row>
    <row r="1805" customHeight="1" spans="1:4">
      <c r="A1805" s="27"/>
      <c r="B1805" s="28"/>
      <c r="C1805" s="28"/>
      <c r="D1805" s="28"/>
    </row>
    <row r="1806" customHeight="1" spans="1:4">
      <c r="A1806" s="27"/>
      <c r="B1806" s="28"/>
      <c r="C1806" s="28"/>
      <c r="D1806" s="28"/>
    </row>
    <row r="1807" customHeight="1" spans="1:4">
      <c r="A1807" s="27"/>
      <c r="B1807" s="28"/>
      <c r="C1807" s="28"/>
      <c r="D1807" s="28"/>
    </row>
    <row r="1808" customHeight="1" spans="1:4">
      <c r="A1808" s="27"/>
      <c r="B1808" s="28"/>
      <c r="C1808" s="28"/>
      <c r="D1808" s="28"/>
    </row>
    <row r="1809" customHeight="1" spans="1:4">
      <c r="A1809" s="27"/>
      <c r="B1809" s="28"/>
      <c r="C1809" s="28"/>
      <c r="D1809" s="28"/>
    </row>
    <row r="1810" customHeight="1" spans="1:4">
      <c r="A1810" s="27"/>
      <c r="B1810" s="28"/>
      <c r="C1810" s="28"/>
      <c r="D1810" s="28"/>
    </row>
    <row r="1811" customHeight="1" spans="1:4">
      <c r="A1811" s="27"/>
      <c r="B1811" s="28"/>
      <c r="C1811" s="28"/>
      <c r="D1811" s="28"/>
    </row>
    <row r="1812" customHeight="1" spans="1:4">
      <c r="A1812" s="27"/>
      <c r="B1812" s="28"/>
      <c r="C1812" s="28"/>
      <c r="D1812" s="28"/>
    </row>
    <row r="1813" customHeight="1" spans="1:4">
      <c r="A1813" s="27"/>
      <c r="B1813" s="28"/>
      <c r="C1813" s="28"/>
      <c r="D1813" s="28"/>
    </row>
    <row r="1814" customHeight="1" spans="1:4">
      <c r="A1814" s="27"/>
      <c r="B1814" s="28"/>
      <c r="C1814" s="28"/>
      <c r="D1814" s="28"/>
    </row>
    <row r="1815" customHeight="1" spans="1:4">
      <c r="A1815" s="27"/>
      <c r="B1815" s="28"/>
      <c r="C1815" s="28"/>
      <c r="D1815" s="28"/>
    </row>
    <row r="1816" customHeight="1" spans="1:4">
      <c r="A1816" s="27"/>
      <c r="B1816" s="28"/>
      <c r="C1816" s="28"/>
      <c r="D1816" s="28"/>
    </row>
    <row r="1817" customHeight="1" spans="1:4">
      <c r="A1817" s="27"/>
      <c r="B1817" s="28"/>
      <c r="C1817" s="28"/>
      <c r="D1817" s="28"/>
    </row>
    <row r="1818" customHeight="1" spans="1:4">
      <c r="A1818" s="27"/>
      <c r="B1818" s="28"/>
      <c r="C1818" s="28"/>
      <c r="D1818" s="28"/>
    </row>
    <row r="1819" customHeight="1" spans="1:4">
      <c r="A1819" s="27"/>
      <c r="B1819" s="28"/>
      <c r="C1819" s="28"/>
      <c r="D1819" s="28"/>
    </row>
    <row r="1820" customHeight="1" spans="1:4">
      <c r="A1820" s="27"/>
      <c r="B1820" s="28"/>
      <c r="C1820" s="28"/>
      <c r="D1820" s="28"/>
    </row>
    <row r="1821" customHeight="1" spans="1:4">
      <c r="A1821" s="27"/>
      <c r="B1821" s="28"/>
      <c r="C1821" s="28"/>
      <c r="D1821" s="28"/>
    </row>
    <row r="1822" customHeight="1" spans="1:4">
      <c r="A1822" s="27"/>
      <c r="B1822" s="28"/>
      <c r="C1822" s="28"/>
      <c r="D1822" s="28"/>
    </row>
    <row r="1823" customHeight="1" spans="1:4">
      <c r="A1823" s="27"/>
      <c r="B1823" s="28"/>
      <c r="C1823" s="28"/>
      <c r="D1823" s="28"/>
    </row>
    <row r="1824" customHeight="1" spans="1:4">
      <c r="A1824" s="27"/>
      <c r="B1824" s="28"/>
      <c r="C1824" s="28"/>
      <c r="D1824" s="28"/>
    </row>
    <row r="1825" customHeight="1" spans="1:4">
      <c r="A1825" s="27"/>
      <c r="B1825" s="28"/>
      <c r="C1825" s="28"/>
      <c r="D1825" s="28"/>
    </row>
    <row r="1826" customHeight="1" spans="1:4">
      <c r="A1826" s="27"/>
      <c r="B1826" s="28"/>
      <c r="C1826" s="28"/>
      <c r="D1826" s="28"/>
    </row>
    <row r="1827" customHeight="1" spans="1:4">
      <c r="A1827" s="27"/>
      <c r="B1827" s="28"/>
      <c r="C1827" s="28"/>
      <c r="D1827" s="28"/>
    </row>
    <row r="1828" customHeight="1" spans="1:4">
      <c r="A1828" s="27"/>
      <c r="B1828" s="28"/>
      <c r="C1828" s="28"/>
      <c r="D1828" s="28"/>
    </row>
    <row r="1829" customHeight="1" spans="1:4">
      <c r="A1829" s="27"/>
      <c r="B1829" s="28"/>
      <c r="C1829" s="28"/>
      <c r="D1829" s="28"/>
    </row>
    <row r="1830" customHeight="1" spans="1:4">
      <c r="A1830" s="27"/>
      <c r="B1830" s="28"/>
      <c r="C1830" s="28"/>
      <c r="D1830" s="28"/>
    </row>
    <row r="1831" customHeight="1" spans="1:4">
      <c r="A1831" s="27"/>
      <c r="B1831" s="28"/>
      <c r="C1831" s="28"/>
      <c r="D1831" s="28"/>
    </row>
    <row r="1832" customHeight="1" spans="1:4">
      <c r="A1832" s="27"/>
      <c r="B1832" s="28"/>
      <c r="C1832" s="28"/>
      <c r="D1832" s="28"/>
    </row>
    <row r="1833" customHeight="1" spans="1:4">
      <c r="A1833" s="27"/>
      <c r="B1833" s="28"/>
      <c r="C1833" s="28"/>
      <c r="D1833" s="28"/>
    </row>
    <row r="1834" customHeight="1" spans="1:4">
      <c r="A1834" s="27"/>
      <c r="B1834" s="28"/>
      <c r="C1834" s="28"/>
      <c r="D1834" s="28"/>
    </row>
    <row r="1835" customHeight="1" spans="1:4">
      <c r="A1835" s="27"/>
      <c r="B1835" s="28"/>
      <c r="C1835" s="28"/>
      <c r="D1835" s="28"/>
    </row>
    <row r="1836" customHeight="1" spans="1:4">
      <c r="A1836" s="27"/>
      <c r="B1836" s="28"/>
      <c r="C1836" s="28"/>
      <c r="D1836" s="28"/>
    </row>
    <row r="1837" customHeight="1" spans="1:4">
      <c r="A1837" s="27"/>
      <c r="B1837" s="28"/>
      <c r="C1837" s="28"/>
      <c r="D1837" s="28"/>
    </row>
    <row r="1838" customHeight="1" spans="1:4">
      <c r="A1838" s="27"/>
      <c r="B1838" s="28"/>
      <c r="C1838" s="28"/>
      <c r="D1838" s="28"/>
    </row>
    <row r="1839" customHeight="1" spans="1:4">
      <c r="A1839" s="27"/>
      <c r="B1839" s="28"/>
      <c r="C1839" s="28"/>
      <c r="D1839" s="28"/>
    </row>
    <row r="1840" customHeight="1" spans="1:4">
      <c r="A1840" s="27"/>
      <c r="B1840" s="28"/>
      <c r="C1840" s="28"/>
      <c r="D1840" s="28"/>
    </row>
    <row r="1841" customHeight="1" spans="1:4">
      <c r="A1841" s="27"/>
      <c r="B1841" s="28"/>
      <c r="C1841" s="28"/>
      <c r="D1841" s="28"/>
    </row>
    <row r="1842" customHeight="1" spans="1:4">
      <c r="A1842" s="27"/>
      <c r="B1842" s="28"/>
      <c r="C1842" s="28"/>
      <c r="D1842" s="28"/>
    </row>
    <row r="1843" customHeight="1" spans="1:4">
      <c r="A1843" s="27"/>
      <c r="B1843" s="28"/>
      <c r="C1843" s="28"/>
      <c r="D1843" s="28"/>
    </row>
    <row r="1844" customHeight="1" spans="1:4">
      <c r="A1844" s="27"/>
      <c r="B1844" s="28"/>
      <c r="C1844" s="28"/>
      <c r="D1844" s="28"/>
    </row>
    <row r="1845" customHeight="1" spans="1:4">
      <c r="A1845" s="27"/>
      <c r="B1845" s="28"/>
      <c r="C1845" s="28"/>
      <c r="D1845" s="28"/>
    </row>
    <row r="1846" customHeight="1" spans="1:4">
      <c r="A1846" s="27"/>
      <c r="B1846" s="28"/>
      <c r="C1846" s="28"/>
      <c r="D1846" s="28"/>
    </row>
    <row r="1847" customHeight="1" spans="1:4">
      <c r="A1847" s="27"/>
      <c r="B1847" s="28"/>
      <c r="C1847" s="28"/>
      <c r="D1847" s="28"/>
    </row>
    <row r="1848" customHeight="1" spans="1:4">
      <c r="A1848" s="27"/>
      <c r="B1848" s="28"/>
      <c r="C1848" s="28"/>
      <c r="D1848" s="28"/>
    </row>
    <row r="1849" customHeight="1" spans="1:4">
      <c r="A1849" s="27"/>
      <c r="B1849" s="28"/>
      <c r="C1849" s="28"/>
      <c r="D1849" s="28"/>
    </row>
    <row r="1850" customHeight="1" spans="1:4">
      <c r="A1850" s="27"/>
      <c r="B1850" s="28"/>
      <c r="C1850" s="28"/>
      <c r="D1850" s="28"/>
    </row>
    <row r="1851" customHeight="1" spans="1:4">
      <c r="A1851" s="27"/>
      <c r="B1851" s="28"/>
      <c r="C1851" s="28"/>
      <c r="D1851" s="28"/>
    </row>
    <row r="1852" customHeight="1" spans="1:4">
      <c r="A1852" s="27"/>
      <c r="B1852" s="28"/>
      <c r="C1852" s="28"/>
      <c r="D1852" s="28"/>
    </row>
    <row r="1853" customHeight="1" spans="1:4">
      <c r="A1853" s="27"/>
      <c r="B1853" s="28"/>
      <c r="C1853" s="28"/>
      <c r="D1853" s="28"/>
    </row>
    <row r="1854" customHeight="1" spans="1:4">
      <c r="A1854" s="27"/>
      <c r="B1854" s="28"/>
      <c r="C1854" s="28"/>
      <c r="D1854" s="28"/>
    </row>
    <row r="1855" customHeight="1" spans="1:4">
      <c r="A1855" s="27"/>
      <c r="B1855" s="28"/>
      <c r="C1855" s="28"/>
      <c r="D1855" s="28"/>
    </row>
    <row r="1856" customHeight="1" spans="1:4">
      <c r="A1856" s="27"/>
      <c r="B1856" s="28"/>
      <c r="C1856" s="28"/>
      <c r="D1856" s="28"/>
    </row>
    <row r="1857" customHeight="1" spans="1:4">
      <c r="A1857" s="27"/>
      <c r="B1857" s="28"/>
      <c r="C1857" s="28"/>
      <c r="D1857" s="28"/>
    </row>
    <row r="1858" customHeight="1" spans="1:4">
      <c r="A1858" s="27"/>
      <c r="B1858" s="28"/>
      <c r="C1858" s="28"/>
      <c r="D1858" s="28"/>
    </row>
    <row r="1859" customHeight="1" spans="1:4">
      <c r="A1859" s="27"/>
      <c r="B1859" s="28"/>
      <c r="C1859" s="28"/>
      <c r="D1859" s="28"/>
    </row>
    <row r="1860" customHeight="1" spans="1:4">
      <c r="A1860" s="27"/>
      <c r="B1860" s="28"/>
      <c r="C1860" s="28"/>
      <c r="D1860" s="28"/>
    </row>
    <row r="1861" customHeight="1" spans="1:4">
      <c r="A1861" s="27"/>
      <c r="B1861" s="28"/>
      <c r="C1861" s="28"/>
      <c r="D1861" s="28"/>
    </row>
    <row r="1862" customHeight="1" spans="1:4">
      <c r="A1862" s="27"/>
      <c r="B1862" s="28"/>
      <c r="C1862" s="28"/>
      <c r="D1862" s="28"/>
    </row>
    <row r="1863" customHeight="1" spans="1:4">
      <c r="A1863" s="27"/>
      <c r="B1863" s="28"/>
      <c r="C1863" s="28"/>
      <c r="D1863" s="28"/>
    </row>
    <row r="1864" customHeight="1" spans="1:4">
      <c r="A1864" s="27"/>
      <c r="B1864" s="28"/>
      <c r="C1864" s="28"/>
      <c r="D1864" s="28"/>
    </row>
    <row r="1865" customHeight="1" spans="1:4">
      <c r="A1865" s="27"/>
      <c r="B1865" s="28"/>
      <c r="C1865" s="28"/>
      <c r="D1865" s="28"/>
    </row>
    <row r="1866" customHeight="1" spans="1:4">
      <c r="A1866" s="27"/>
      <c r="B1866" s="28"/>
      <c r="C1866" s="28"/>
      <c r="D1866" s="28"/>
    </row>
    <row r="1867" customHeight="1" spans="1:4">
      <c r="A1867" s="27"/>
      <c r="B1867" s="28"/>
      <c r="C1867" s="28"/>
      <c r="D1867" s="28"/>
    </row>
    <row r="1868" customHeight="1" spans="1:4">
      <c r="A1868" s="27"/>
      <c r="B1868" s="28"/>
      <c r="C1868" s="28"/>
      <c r="D1868" s="28"/>
    </row>
    <row r="1869" customHeight="1" spans="1:4">
      <c r="A1869" s="27"/>
      <c r="B1869" s="28"/>
      <c r="C1869" s="28"/>
      <c r="D1869" s="28"/>
    </row>
    <row r="1870" customHeight="1" spans="1:4">
      <c r="A1870" s="27"/>
      <c r="B1870" s="28"/>
      <c r="C1870" s="28"/>
      <c r="D1870" s="28"/>
    </row>
    <row r="1871" customHeight="1" spans="1:4">
      <c r="A1871" s="27"/>
      <c r="B1871" s="28"/>
      <c r="C1871" s="28"/>
      <c r="D1871" s="28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7" workbookViewId="0">
      <selection activeCell="C67" sqref="A2:A67 C2:C67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7" t="s">
        <v>28</v>
      </c>
      <c r="B1" s="28" t="s">
        <v>29</v>
      </c>
      <c r="C1" s="28" t="s">
        <v>30</v>
      </c>
      <c r="D1" s="28" t="s">
        <v>31</v>
      </c>
    </row>
    <row r="2" customHeight="1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>
        <f>IFERROR(__xludf.DUMMYFUNCTION("IMPORTRANGE(""https://docs.google.com/spreadsheets/d/1eaVzK6FcHCiSWH6vlneKycaHdBQH67V1d-FjgY0Xsl4/edit?gid=2039965616#gid=2039965616"",""报价汇总!E4:E500"")"),153.860628249017)</f>
        <v>153.860628249017</v>
      </c>
      <c r="C2" s="30">
        <f>IFERROR(__xludf.DUMMYFUNCTION("IMPORTRANGE(""https://docs.google.com/spreadsheets/d/1eaVzK6FcHCiSWH6vlneKycaHdBQH67V1d-FjgY0Xsl4/edit?gid=2039965616#gid=2039965616"",""报价汇总!F4:F500"")"),141.245871993998)</f>
        <v>141.245871993998</v>
      </c>
      <c r="D2" s="28" t="s">
        <v>35</v>
      </c>
    </row>
    <row r="3" customHeight="1" spans="1:4">
      <c r="A3" s="29" t="str">
        <f>IFERROR(__xludf.DUMMYFUNCTION("""COMPUTED_VALUE"""),"iPhone 11 128G")</f>
        <v>iPhone 11 128G</v>
      </c>
      <c r="B3" s="30">
        <f>IFERROR(__xludf.DUMMYFUNCTION("""COMPUTED_VALUE"""),171.07290097629)</f>
        <v>171.07290097629</v>
      </c>
      <c r="C3" s="30">
        <f>IFERROR(__xludf.DUMMYFUNCTION("""COMPUTED_VALUE"""),158.242462715016)</f>
        <v>158.242462715016</v>
      </c>
      <c r="D3" s="28" t="s">
        <v>35</v>
      </c>
    </row>
    <row r="4" customHeight="1" spans="1:11">
      <c r="A4" s="29" t="str">
        <f>IFERROR(__xludf.DUMMYFUNCTION("""COMPUTED_VALUE"""),"iPhone 11 256G")</f>
        <v>iPhone 11 256G</v>
      </c>
      <c r="B4" s="30">
        <f>IFERROR(__xludf.DUMMYFUNCTION("""COMPUTED_VALUE"""),183.93640167364)</f>
        <v>183.93640167364</v>
      </c>
      <c r="C4" s="30">
        <f>IFERROR(__xludf.DUMMYFUNCTION("""COMPUTED_VALUE"""),170.993412831241)</f>
        <v>170.993412831241</v>
      </c>
      <c r="D4" s="28" t="s">
        <v>35</v>
      </c>
      <c r="F4" s="41" t="s">
        <v>36</v>
      </c>
      <c r="G4" s="41"/>
      <c r="H4" s="41"/>
      <c r="I4" s="41"/>
      <c r="J4" s="41"/>
      <c r="K4" s="41"/>
    </row>
    <row r="5" customHeight="1" spans="1:11">
      <c r="A5" s="29" t="str">
        <f>IFERROR(__xludf.DUMMYFUNCTION("""COMPUTED_VALUE"""),"iPhone 11 Pro 64G")</f>
        <v>iPhone 11 Pro 64G</v>
      </c>
      <c r="B5" s="30">
        <f>IFERROR(__xludf.DUMMYFUNCTION("""COMPUTED_VALUE"""),188.30230125523)</f>
        <v>188.30230125523</v>
      </c>
      <c r="C5" s="30">
        <f>IFERROR(__xludf.DUMMYFUNCTION("""COMPUTED_VALUE"""),175.32240934449)</f>
        <v>175.32240934449</v>
      </c>
      <c r="D5" s="28" t="s">
        <v>35</v>
      </c>
      <c r="F5" s="34"/>
      <c r="G5" s="34"/>
      <c r="H5" s="34"/>
      <c r="I5" s="34"/>
      <c r="J5" s="34"/>
      <c r="K5" s="34"/>
    </row>
    <row r="6" customHeight="1" spans="1:11">
      <c r="A6" s="29" t="str">
        <f>IFERROR(__xludf.DUMMYFUNCTION("""COMPUTED_VALUE"""),"iPhone 11 Pro 256G")</f>
        <v>iPhone 11 Pro 256G</v>
      </c>
      <c r="B6" s="30">
        <f>IFERROR(__xludf.DUMMYFUNCTION("""COMPUTED_VALUE"""),210.40290097629)</f>
        <v>210.40290097629</v>
      </c>
      <c r="C6" s="30">
        <f>IFERROR(__xludf.DUMMYFUNCTION("""COMPUTED_VALUE"""),197.161723012552)</f>
        <v>197.161723012552</v>
      </c>
      <c r="D6" s="28" t="s">
        <v>35</v>
      </c>
      <c r="F6" s="31" t="s">
        <v>34</v>
      </c>
      <c r="G6" s="32"/>
      <c r="H6" s="32"/>
      <c r="I6" s="32"/>
      <c r="J6" s="32"/>
      <c r="K6" s="32"/>
    </row>
    <row r="7" customHeight="1" spans="1:11">
      <c r="A7" s="29" t="str">
        <f>IFERROR(__xludf.DUMMYFUNCTION("""COMPUTED_VALUE"""),"iPhone 11 Pro 512G")</f>
        <v>iPhone 11 Pro 512G</v>
      </c>
      <c r="B7" s="30">
        <f>IFERROR(__xludf.DUMMYFUNCTION("""COMPUTED_VALUE"""),225.73640167364)</f>
        <v>225.73640167364</v>
      </c>
      <c r="C7" s="30">
        <f>IFERROR(__xludf.DUMMYFUNCTION("""COMPUTED_VALUE"""),212.397119944212)</f>
        <v>212.397119944212</v>
      </c>
      <c r="D7" s="28" t="s">
        <v>35</v>
      </c>
      <c r="F7" s="32"/>
      <c r="G7" s="32"/>
      <c r="H7" s="32"/>
      <c r="I7" s="32"/>
      <c r="J7" s="32"/>
      <c r="K7" s="32"/>
    </row>
    <row r="8" customHeight="1" spans="1:11">
      <c r="A8" s="29" t="str">
        <f>IFERROR(__xludf.DUMMYFUNCTION("""COMPUTED_VALUE"""),"iPhone 11 Pro Max 64G")</f>
        <v>iPhone 11 Pro Max 64G</v>
      </c>
      <c r="B8" s="30">
        <f>IFERROR(__xludf.DUMMYFUNCTION("""COMPUTED_VALUE"""),221.04290097629)</f>
        <v>221.04290097629</v>
      </c>
      <c r="C8" s="30">
        <f>IFERROR(__xludf.DUMMYFUNCTION("""COMPUTED_VALUE"""),207.713955090655)</f>
        <v>207.713955090655</v>
      </c>
      <c r="D8" s="28" t="s">
        <v>35</v>
      </c>
      <c r="F8" s="32"/>
      <c r="G8" s="32"/>
      <c r="H8" s="32"/>
      <c r="I8" s="32"/>
      <c r="J8" s="32"/>
      <c r="K8" s="32"/>
    </row>
    <row r="9" customHeight="1" spans="1:11">
      <c r="A9" s="29" t="str">
        <f>IFERROR(__xludf.DUMMYFUNCTION("""COMPUTED_VALUE"""),"iPhone 11 Pro Max 256G")</f>
        <v>iPhone 11 Pro Max 256G</v>
      </c>
      <c r="B9" s="30">
        <f>IFERROR(__xludf.DUMMYFUNCTION("""COMPUTED_VALUE"""),246.319735006973)</f>
        <v>246.319735006973</v>
      </c>
      <c r="C9" s="30">
        <f>IFERROR(__xludf.DUMMYFUNCTION("""COMPUTED_VALUE"""),232.783664574616)</f>
        <v>232.783664574616</v>
      </c>
      <c r="D9" s="28" t="s">
        <v>35</v>
      </c>
      <c r="F9" s="32"/>
      <c r="G9" s="32"/>
      <c r="H9" s="32"/>
      <c r="I9" s="32"/>
      <c r="J9" s="32"/>
      <c r="K9" s="32"/>
    </row>
    <row r="10" customHeight="1" spans="1:11">
      <c r="A10" s="29" t="str">
        <f>IFERROR(__xludf.DUMMYFUNCTION("""COMPUTED_VALUE"""),"iPhone 11 Pro Max 512G")</f>
        <v>iPhone 11 Pro Max 512G</v>
      </c>
      <c r="B10" s="30">
        <f>IFERROR(__xludf.DUMMYFUNCTION("""COMPUTED_VALUE"""),264.218235704323)</f>
        <v>264.218235704323</v>
      </c>
      <c r="C10" s="30">
        <f>IFERROR(__xludf.DUMMYFUNCTION("""COMPUTED_VALUE"""),250.523131218038)</f>
        <v>250.523131218038</v>
      </c>
      <c r="D10" s="28" t="s">
        <v>35</v>
      </c>
      <c r="F10" s="32"/>
      <c r="G10" s="32"/>
      <c r="H10" s="32"/>
      <c r="I10" s="32"/>
      <c r="J10" s="32"/>
      <c r="K10" s="32"/>
    </row>
    <row r="11" customHeight="1" spans="1:11">
      <c r="A11" s="29" t="str">
        <f>IFERROR(__xludf.DUMMYFUNCTION("""COMPUTED_VALUE"""),"iPhone 12 64G")</f>
        <v>iPhone 12 64G</v>
      </c>
      <c r="B11" s="30">
        <f>IFERROR(__xludf.DUMMYFUNCTION("""COMPUTED_VALUE"""),178.017045228133)</f>
        <v>178.017045228133</v>
      </c>
      <c r="C11" s="30">
        <f>IFERROR(__xludf.DUMMYFUNCTION("""COMPUTED_VALUE"""),165.16273457528)</f>
        <v>165.16273457528</v>
      </c>
      <c r="D11" s="28" t="s">
        <v>35</v>
      </c>
      <c r="F11" s="32"/>
      <c r="G11" s="32"/>
      <c r="H11" s="32"/>
      <c r="I11" s="32"/>
      <c r="J11" s="32"/>
      <c r="K11" s="32"/>
    </row>
    <row r="12" customHeight="1" spans="1:11">
      <c r="A12" s="29" t="str">
        <f>IFERROR(__xludf.DUMMYFUNCTION("""COMPUTED_VALUE"""),"iPhone 12 128G")</f>
        <v>iPhone 12 128G</v>
      </c>
      <c r="B12" s="30">
        <f>IFERROR(__xludf.DUMMYFUNCTION("""COMPUTED_VALUE"""),201.053899581589)</f>
        <v>201.053899581589</v>
      </c>
      <c r="C12" s="30">
        <f>IFERROR(__xludf.DUMMYFUNCTION("""COMPUTED_VALUE"""),187.963905876336)</f>
        <v>187.963905876336</v>
      </c>
      <c r="D12" s="28" t="s">
        <v>35</v>
      </c>
      <c r="F12" s="32"/>
      <c r="G12" s="32"/>
      <c r="H12" s="32"/>
      <c r="I12" s="32"/>
      <c r="J12" s="32"/>
      <c r="K12" s="32"/>
    </row>
    <row r="13" customHeight="1" spans="1:11">
      <c r="A13" s="29" t="str">
        <f>IFERROR(__xludf.DUMMYFUNCTION("""COMPUTED_VALUE"""),"iPhone 12 256G")</f>
        <v>iPhone 12 256G</v>
      </c>
      <c r="B13" s="30">
        <f>IFERROR(__xludf.DUMMYFUNCTION("""COMPUTED_VALUE"""),221.986066945606)</f>
        <v>221.986066945606</v>
      </c>
      <c r="C13" s="30">
        <f>IFERROR(__xludf.DUMMYFUNCTION("""COMPUTED_VALUE"""),208.716442305904)</f>
        <v>208.716442305904</v>
      </c>
      <c r="D13" s="28" t="s">
        <v>35</v>
      </c>
      <c r="F13" s="32"/>
      <c r="G13" s="32"/>
      <c r="H13" s="32"/>
      <c r="I13" s="32"/>
      <c r="J13" s="32"/>
      <c r="K13" s="32"/>
    </row>
    <row r="14" customHeight="1" spans="1:11">
      <c r="A14" s="29" t="str">
        <f>IFERROR(__xludf.DUMMYFUNCTION("""COMPUTED_VALUE"""),"iPhone 12 mini 64G")</f>
        <v>iPhone 12 mini 64G</v>
      </c>
      <c r="B14" s="30">
        <f>IFERROR(__xludf.DUMMYFUNCTION("""COMPUTED_VALUE"""),143.11290097629)</f>
        <v>143.11290097629</v>
      </c>
      <c r="C14" s="30">
        <f>IFERROR(__xludf.DUMMYFUNCTION("""COMPUTED_VALUE"""),130.634168061366)</f>
        <v>130.634168061366</v>
      </c>
      <c r="D14" s="28" t="s">
        <v>35</v>
      </c>
      <c r="F14" s="32"/>
      <c r="G14" s="32"/>
      <c r="H14" s="32"/>
      <c r="I14" s="32"/>
      <c r="J14" s="32"/>
      <c r="K14" s="32"/>
    </row>
    <row r="15" customHeight="1" spans="1:11">
      <c r="A15" s="29" t="str">
        <f>IFERROR(__xludf.DUMMYFUNCTION("""COMPUTED_VALUE"""),"iPhone 12 mini 128G")</f>
        <v>iPhone 12 mini 128G</v>
      </c>
      <c r="B15" s="30">
        <f>IFERROR(__xludf.DUMMYFUNCTION("""COMPUTED_VALUE"""),157.812127551667)</f>
        <v>157.812127551667</v>
      </c>
      <c r="C15" s="30">
        <f>IFERROR(__xludf.DUMMYFUNCTION("""COMPUTED_VALUE"""),145.188755652761)</f>
        <v>145.188755652761</v>
      </c>
      <c r="D15" s="28" t="s">
        <v>35</v>
      </c>
      <c r="F15" s="32"/>
      <c r="G15" s="32"/>
      <c r="H15" s="32"/>
      <c r="I15" s="32"/>
      <c r="J15" s="32"/>
      <c r="K15" s="32"/>
    </row>
    <row r="16" customHeight="1" spans="1:11">
      <c r="A16" s="29" t="str">
        <f>IFERROR(__xludf.DUMMYFUNCTION("""COMPUTED_VALUE"""),"iPhone 12 mini 256G")</f>
        <v>iPhone 12 mini 256G</v>
      </c>
      <c r="B16" s="30">
        <f>IFERROR(__xludf.DUMMYFUNCTION("""COMPUTED_VALUE"""),177.052530384538)</f>
        <v>177.052530384538</v>
      </c>
      <c r="C16" s="30">
        <f>IFERROR(__xludf.DUMMYFUNCTION("""COMPUTED_VALUE"""),164.248715115892)</f>
        <v>164.248715115892</v>
      </c>
      <c r="D16" s="28" t="s">
        <v>35</v>
      </c>
      <c r="F16" s="32"/>
      <c r="G16" s="32"/>
      <c r="H16" s="32"/>
      <c r="I16" s="32"/>
      <c r="J16" s="32"/>
      <c r="K16" s="32"/>
    </row>
    <row r="17" customHeight="1" spans="1:4">
      <c r="A17" s="29" t="str">
        <f>IFERROR(__xludf.DUMMYFUNCTION("""COMPUTED_VALUE"""),"iPhone 12 Pro 128G")</f>
        <v>iPhone 12 Pro 128G</v>
      </c>
      <c r="B17" s="30">
        <f>IFERROR(__xludf.DUMMYFUNCTION("""COMPUTED_VALUE"""),260.291472404861)</f>
        <v>260.291472404861</v>
      </c>
      <c r="C17" s="30">
        <f>IFERROR(__xludf.DUMMYFUNCTION("""COMPUTED_VALUE"""),246.611700272298)</f>
        <v>246.611700272298</v>
      </c>
      <c r="D17" s="28" t="s">
        <v>35</v>
      </c>
    </row>
    <row r="18" customHeight="1" spans="1:4">
      <c r="A18" s="29" t="str">
        <f>IFERROR(__xludf.DUMMYFUNCTION("""COMPUTED_VALUE"""),"iPhone 12 Pro 256G")</f>
        <v>iPhone 12 Pro 256G</v>
      </c>
      <c r="B18" s="30">
        <f>IFERROR(__xludf.DUMMYFUNCTION("""COMPUTED_VALUE"""),269.033734309623)</f>
        <v>269.033734309623</v>
      </c>
      <c r="C18" s="30">
        <f>IFERROR(__xludf.DUMMYFUNCTION("""COMPUTED_VALUE"""),255.184725999535)</f>
        <v>255.184725999535</v>
      </c>
      <c r="D18" s="28" t="s">
        <v>35</v>
      </c>
    </row>
    <row r="19" customHeight="1" spans="1:4">
      <c r="A19" s="29" t="str">
        <f>IFERROR(__xludf.DUMMYFUNCTION("""COMPUTED_VALUE"""),"iPhone 12 Pro 512G")</f>
        <v>iPhone 12 Pro 512G</v>
      </c>
      <c r="B19" s="30">
        <f>IFERROR(__xludf.DUMMYFUNCTION("""COMPUTED_VALUE"""),289.95640167364)</f>
        <v>289.95640167364</v>
      </c>
      <c r="C19" s="30">
        <f>IFERROR(__xludf.DUMMYFUNCTION("""COMPUTED_VALUE"""),275.988328730822)</f>
        <v>275.988328730822</v>
      </c>
      <c r="D19" s="28" t="s">
        <v>35</v>
      </c>
    </row>
    <row r="20" customHeight="1" spans="1:4">
      <c r="A20" s="29" t="str">
        <f>IFERROR(__xludf.DUMMYFUNCTION("""COMPUTED_VALUE"""),"iPhone 12 Pro Max 128G")</f>
        <v>iPhone 12 Pro Max 128G</v>
      </c>
      <c r="B20" s="30">
        <f>IFERROR(__xludf.DUMMYFUNCTION("""COMPUTED_VALUE"""),354.947471086793)</f>
        <v>354.947471086793</v>
      </c>
      <c r="C20" s="30">
        <f>IFERROR(__xludf.DUMMYFUNCTION("""COMPUTED_VALUE"""),340.375328326717)</f>
        <v>340.375328326717</v>
      </c>
      <c r="D20" s="28" t="s">
        <v>35</v>
      </c>
    </row>
    <row r="21" customHeight="1" spans="1:4">
      <c r="A21" s="29" t="str">
        <f>IFERROR(__xludf.DUMMYFUNCTION("""COMPUTED_VALUE"""),"iPhone 12 Pro Max 256G")</f>
        <v>iPhone 12 Pro Max 256G</v>
      </c>
      <c r="B21" s="30">
        <f>IFERROR(__xludf.DUMMYFUNCTION("""COMPUTED_VALUE"""),367.146617535184)</f>
        <v>367.146617535184</v>
      </c>
      <c r="C21" s="30">
        <f>IFERROR(__xludf.DUMMYFUNCTION("""COMPUTED_VALUE"""),352.399750433202)</f>
        <v>352.399750433202</v>
      </c>
      <c r="D21" s="28" t="s">
        <v>35</v>
      </c>
    </row>
    <row r="22" customHeight="1" spans="1:4">
      <c r="A22" s="29" t="str">
        <f>IFERROR(__xludf.DUMMYFUNCTION("""COMPUTED_VALUE"""),"iPhone 12 Pro Max 512G")</f>
        <v>iPhone 12 Pro Max 512G</v>
      </c>
      <c r="B22" s="30">
        <f>IFERROR(__xludf.DUMMYFUNCTION("""COMPUTED_VALUE"""),384.23980892608)</f>
        <v>384.23980892608</v>
      </c>
      <c r="C22" s="30">
        <f>IFERROR(__xludf.DUMMYFUNCTION("""COMPUTED_VALUE"""),369.348993956299)</f>
        <v>369.348993956299</v>
      </c>
      <c r="D22" s="28" t="s">
        <v>35</v>
      </c>
    </row>
    <row r="23" customHeight="1" spans="1:4">
      <c r="A23" s="29" t="str">
        <f>IFERROR(__xludf.DUMMYFUNCTION("""COMPUTED_VALUE"""),"iPhone 13 128G")</f>
        <v>iPhone 13 128G</v>
      </c>
      <c r="B23" s="30">
        <f>IFERROR(__xludf.DUMMYFUNCTION("""COMPUTED_VALUE"""),283.801851584667)</f>
        <v>283.801851584667</v>
      </c>
      <c r="C23" s="30">
        <f>IFERROR(__xludf.DUMMYFUNCTION("""COMPUTED_VALUE"""),269.907442344378)</f>
        <v>269.907442344378</v>
      </c>
      <c r="D23" s="28" t="s">
        <v>35</v>
      </c>
    </row>
    <row r="24" customHeight="1" spans="1:4">
      <c r="A24" s="29" t="str">
        <f>IFERROR(__xludf.DUMMYFUNCTION("""COMPUTED_VALUE"""),"iPhone 13 256G")</f>
        <v>iPhone 13 256G</v>
      </c>
      <c r="B24" s="30">
        <f>IFERROR(__xludf.DUMMYFUNCTION("""COMPUTED_VALUE"""),293.478332337118)</f>
        <v>293.478332337118</v>
      </c>
      <c r="C24" s="30">
        <f>IFERROR(__xludf.DUMMYFUNCTION("""COMPUTED_VALUE"""),279.402951285116)</f>
        <v>279.402951285116</v>
      </c>
      <c r="D24" s="28" t="s">
        <v>35</v>
      </c>
    </row>
    <row r="25" customHeight="1" spans="1:4">
      <c r="A25" s="29" t="str">
        <f>IFERROR(__xludf.DUMMYFUNCTION("""COMPUTED_VALUE"""),"iPhone 13 512G")</f>
        <v>iPhone 13 512G</v>
      </c>
      <c r="B25" s="30">
        <f>IFERROR(__xludf.DUMMYFUNCTION("""COMPUTED_VALUE"""),322.19415097629)</f>
        <v>322.19415097629</v>
      </c>
      <c r="C25" s="30">
        <f>IFERROR(__xludf.DUMMYFUNCTION("""COMPUTED_VALUE"""),307.914421504532)</f>
        <v>307.914421504532</v>
      </c>
      <c r="D25" s="28" t="s">
        <v>35</v>
      </c>
    </row>
    <row r="26" customHeight="1" spans="1:4">
      <c r="A26" s="29" t="str">
        <f>IFERROR(__xludf.DUMMYFUNCTION("""COMPUTED_VALUE"""),"iPhone 13 mini 128G")</f>
        <v>iPhone 13 mini 128G</v>
      </c>
      <c r="B26" s="30">
        <f>IFERROR(__xludf.DUMMYFUNCTION("""COMPUTED_VALUE"""),227.689179451417)</f>
        <v>227.689179451417</v>
      </c>
      <c r="C26" s="30">
        <f>IFERROR(__xludf.DUMMYFUNCTION("""COMPUTED_VALUE"""),214.364632070354)</f>
        <v>214.364632070354</v>
      </c>
      <c r="D26" s="28" t="s">
        <v>35</v>
      </c>
    </row>
    <row r="27" customHeight="1" spans="1:4">
      <c r="A27" s="29" t="str">
        <f>IFERROR(__xludf.DUMMYFUNCTION("""COMPUTED_VALUE"""),"iPhone 13 mini 256G")</f>
        <v>iPhone 13 mini 256G</v>
      </c>
      <c r="B27" s="30">
        <f>IFERROR(__xludf.DUMMYFUNCTION("""COMPUTED_VALUE"""),251.070249302649)</f>
        <v>251.070249302649</v>
      </c>
      <c r="C27" s="30">
        <f>IFERROR(__xludf.DUMMYFUNCTION("""COMPUTED_VALUE"""),237.506055352161)</f>
        <v>237.506055352161</v>
      </c>
      <c r="D27" s="28" t="s">
        <v>35</v>
      </c>
    </row>
    <row r="28" customHeight="1" spans="1:4">
      <c r="A28" s="29" t="str">
        <f>IFERROR(__xludf.DUMMYFUNCTION("""COMPUTED_VALUE"""),"iPhone 13 mini 512G")</f>
        <v>iPhone 13 mini 512G</v>
      </c>
      <c r="B28" s="30" t="str">
        <f>IFERROR(__xludf.DUMMYFUNCTION("""COMPUTED_VALUE"""),"")</f>
        <v/>
      </c>
      <c r="C28" s="30" t="str">
        <f>IFERROR(__xludf.DUMMYFUNCTION("""COMPUTED_VALUE"""),"")</f>
        <v/>
      </c>
      <c r="D28" s="28" t="s">
        <v>35</v>
      </c>
    </row>
    <row r="29" customHeight="1" spans="1:4">
      <c r="A29" s="29" t="str">
        <f>IFERROR(__xludf.DUMMYFUNCTION("""COMPUTED_VALUE"""),"iPhone 13 Pro 128G")</f>
        <v>iPhone 13 Pro 128G</v>
      </c>
      <c r="B29" s="30">
        <f>IFERROR(__xludf.DUMMYFUNCTION("""COMPUTED_VALUE"""),378.400852859135)</f>
        <v>378.400852859135</v>
      </c>
      <c r="C29" s="30">
        <f>IFERROR(__xludf.DUMMYFUNCTION("""COMPUTED_VALUE"""),363.50510134821)</f>
        <v>363.50510134821</v>
      </c>
      <c r="D29" s="28" t="s">
        <v>35</v>
      </c>
    </row>
    <row r="30" customHeight="1" spans="1:4">
      <c r="A30" s="29" t="str">
        <f>IFERROR(__xludf.DUMMYFUNCTION("""COMPUTED_VALUE"""),"iPhone 13 Pro 256G")</f>
        <v>iPhone 13 Pro 256G</v>
      </c>
      <c r="B30" s="30">
        <f>IFERROR(__xludf.DUMMYFUNCTION("""COMPUTED_VALUE"""),413.461493941771)</f>
        <v>413.461493941771</v>
      </c>
      <c r="C30" s="30">
        <f>IFERROR(__xludf.DUMMYFUNCTION("""COMPUTED_VALUE"""),398.25526984542)</f>
        <v>398.25526984542</v>
      </c>
      <c r="D30" s="28" t="s">
        <v>35</v>
      </c>
    </row>
    <row r="31" customHeight="1" spans="1:4">
      <c r="A31" s="29" t="str">
        <f>IFERROR(__xludf.DUMMYFUNCTION("""COMPUTED_VALUE"""),"iPhone 13 Pro 512G")</f>
        <v>iPhone 13 Pro 512G</v>
      </c>
      <c r="B31" s="30">
        <f>IFERROR(__xludf.DUMMYFUNCTION("""COMPUTED_VALUE"""),430.362566628629)</f>
        <v>430.362566628629</v>
      </c>
      <c r="C31" s="30">
        <f>IFERROR(__xludf.DUMMYFUNCTION("""COMPUTED_VALUE"""),414.918216727948)</f>
        <v>414.918216727948</v>
      </c>
      <c r="D31" s="28" t="s">
        <v>35</v>
      </c>
    </row>
    <row r="32" customHeight="1" spans="1:4">
      <c r="A32" s="29" t="str">
        <f>IFERROR(__xludf.DUMMYFUNCTION("""COMPUTED_VALUE"""),"iPhone 13 Pro 1T")</f>
        <v>iPhone 13 Pro 1T</v>
      </c>
      <c r="B32" s="30">
        <f>IFERROR(__xludf.DUMMYFUNCTION("""COMPUTED_VALUE"""),441.476825383542)</f>
        <v>441.476825383542</v>
      </c>
      <c r="C32" s="30">
        <f>IFERROR(__xludf.DUMMYFUNCTION("""COMPUTED_VALUE"""),425.939282938168)</f>
        <v>425.939282938168</v>
      </c>
      <c r="D32" s="28" t="s">
        <v>35</v>
      </c>
    </row>
    <row r="33" customHeight="1" spans="1:4">
      <c r="A33" s="29" t="str">
        <f>IFERROR(__xludf.DUMMYFUNCTION("""COMPUTED_VALUE"""),"iPhone 13 Pro Max 128G")</f>
        <v>iPhone 13 Pro Max 128G</v>
      </c>
      <c r="B33" s="30">
        <f>IFERROR(__xludf.DUMMYFUNCTION("""COMPUTED_VALUE"""),449.128593444909)</f>
        <v>449.128593444909</v>
      </c>
      <c r="C33" s="30">
        <f>IFERROR(__xludf.DUMMYFUNCTION("""COMPUTED_VALUE"""),433.578127847512)</f>
        <v>433.578127847512</v>
      </c>
      <c r="D33" s="28" t="s">
        <v>35</v>
      </c>
    </row>
    <row r="34" customHeight="1" spans="1:4">
      <c r="A34" s="29" t="str">
        <f>IFERROR(__xludf.DUMMYFUNCTION("""COMPUTED_VALUE"""),"iPhone 13 Pro Max 256G")</f>
        <v>iPhone 13 Pro Max 256G</v>
      </c>
      <c r="B34" s="30">
        <f>IFERROR(__xludf.DUMMYFUNCTION("""COMPUTED_VALUE"""),480.409096234309)</f>
        <v>480.409096234309</v>
      </c>
      <c r="C34" s="30">
        <f>IFERROR(__xludf.DUMMYFUNCTION("""COMPUTED_VALUE"""),464.512596001859)</f>
        <v>464.512596001859</v>
      </c>
      <c r="D34" s="28" t="s">
        <v>35</v>
      </c>
    </row>
    <row r="35" customHeight="1" spans="1:4">
      <c r="A35" s="29" t="str">
        <f>IFERROR(__xludf.DUMMYFUNCTION("""COMPUTED_VALUE"""),"iPhone 13 Pro Max 512G")</f>
        <v>iPhone 13 Pro Max 512G</v>
      </c>
      <c r="B35" s="30">
        <f>IFERROR(__xludf.DUMMYFUNCTION("""COMPUTED_VALUE"""),509.857812895612)</f>
        <v>509.857812895612</v>
      </c>
      <c r="C35" s="30">
        <f>IFERROR(__xludf.DUMMYFUNCTION("""COMPUTED_VALUE"""),493.703018202624)</f>
        <v>493.703018202624</v>
      </c>
      <c r="D35" s="28" t="s">
        <v>35</v>
      </c>
    </row>
    <row r="36" customHeight="1" spans="1:4">
      <c r="A36" s="29" t="str">
        <f>IFERROR(__xludf.DUMMYFUNCTION("""COMPUTED_VALUE"""),"iPhone 13 Pro Max 1T")</f>
        <v>iPhone 13 Pro Max 1T</v>
      </c>
      <c r="B36" s="30">
        <f>IFERROR(__xludf.DUMMYFUNCTION("""COMPUTED_VALUE"""),528.960113668061)</f>
        <v>528.960113668061</v>
      </c>
      <c r="C36" s="30">
        <f>IFERROR(__xludf.DUMMYFUNCTION("""COMPUTED_VALUE"""),512.597142259414)</f>
        <v>512.597142259414</v>
      </c>
      <c r="D36" s="28" t="s">
        <v>35</v>
      </c>
    </row>
    <row r="37" customHeight="1" spans="1:4">
      <c r="A37" s="29" t="str">
        <f>IFERROR(__xludf.DUMMYFUNCTION("""COMPUTED_VALUE"""),"iPhone 14 128G")</f>
        <v>iPhone 14 128G</v>
      </c>
      <c r="B37" s="30">
        <f>IFERROR(__xludf.DUMMYFUNCTION("""COMPUTED_VALUE"""),321.521234309623)</f>
        <v>321.521234309623</v>
      </c>
      <c r="C37" s="30">
        <f>IFERROR(__xludf.DUMMYFUNCTION("""COMPUTED_VALUE"""),307.192000348675)</f>
        <v>307.192000348675</v>
      </c>
      <c r="D37" s="28" t="s">
        <v>35</v>
      </c>
    </row>
    <row r="38" customHeight="1" spans="1:4">
      <c r="A38" s="29" t="str">
        <f>IFERROR(__xludf.DUMMYFUNCTION("""COMPUTED_VALUE"""),"iPhone 14 256G")</f>
        <v>iPhone 14 256G</v>
      </c>
      <c r="B38" s="30">
        <f>IFERROR(__xludf.DUMMYFUNCTION("""COMPUTED_VALUE"""),332.005378959952)</f>
        <v>332.005378959952</v>
      </c>
      <c r="C38" s="30">
        <f>IFERROR(__xludf.DUMMYFUNCTION("""COMPUTED_VALUE"""),317.453356843992)</f>
        <v>317.453356843992</v>
      </c>
      <c r="D38" s="28" t="s">
        <v>35</v>
      </c>
    </row>
    <row r="39" customHeight="1" spans="1:4">
      <c r="A39" s="29" t="str">
        <f>IFERROR(__xludf.DUMMYFUNCTION("""COMPUTED_VALUE"""),"iPhone 14 512G")</f>
        <v>iPhone 14 512G</v>
      </c>
      <c r="B39" s="30">
        <f>IFERROR(__xludf.DUMMYFUNCTION("""COMPUTED_VALUE"""),363.820241457461)</f>
        <v>363.820241457461</v>
      </c>
      <c r="C39" s="30">
        <f>IFERROR(__xludf.DUMMYFUNCTION("""COMPUTED_VALUE"""),349.002226290097)</f>
        <v>349.002226290097</v>
      </c>
      <c r="D39" s="28" t="s">
        <v>35</v>
      </c>
    </row>
    <row r="40" customHeight="1" spans="1:4">
      <c r="A40" s="29" t="str">
        <f>IFERROR(__xludf.DUMMYFUNCTION("""COMPUTED_VALUE"""),"iPhone 14 Plus 128G")</f>
        <v>iPhone 14 Plus 128G</v>
      </c>
      <c r="B40" s="30">
        <f>IFERROR(__xludf.DUMMYFUNCTION("""COMPUTED_VALUE"""),338.442461645746)</f>
        <v>338.442461645746</v>
      </c>
      <c r="C40" s="30">
        <f>IFERROR(__xludf.DUMMYFUNCTION("""COMPUTED_VALUE"""),323.988372849837)</f>
        <v>323.988372849837</v>
      </c>
      <c r="D40" s="28" t="s">
        <v>35</v>
      </c>
    </row>
    <row r="41" customHeight="1" spans="1:4">
      <c r="A41" s="29" t="str">
        <f>IFERROR(__xludf.DUMMYFUNCTION("""COMPUTED_VALUE"""),"iPhone 14 Plus 256G")</f>
        <v>iPhone 14 Plus 256G</v>
      </c>
      <c r="B41" s="30">
        <f>IFERROR(__xludf.DUMMYFUNCTION("""COMPUTED_VALUE"""),359.987498498015)</f>
        <v>359.987498498015</v>
      </c>
      <c r="C41" s="30">
        <f>IFERROR(__xludf.DUMMYFUNCTION("""COMPUTED_VALUE"""),345.245603011121)</f>
        <v>345.245603011121</v>
      </c>
      <c r="D41" s="28" t="s">
        <v>35</v>
      </c>
    </row>
    <row r="42" customHeight="1" spans="1:4">
      <c r="A42" s="29" t="str">
        <f>IFERROR(__xludf.DUMMYFUNCTION("""COMPUTED_VALUE"""),"iPhone 14 Plus 512G")</f>
        <v>iPhone 14 Plus 512G</v>
      </c>
      <c r="B42" s="30">
        <f>IFERROR(__xludf.DUMMYFUNCTION("""COMPUTED_VALUE"""),389.215675209204)</f>
        <v>389.215675209204</v>
      </c>
      <c r="C42" s="30">
        <f>IFERROR(__xludf.DUMMYFUNCTION("""COMPUTED_VALUE"""),374.172682821943)</f>
        <v>374.172682821943</v>
      </c>
      <c r="D42" s="28" t="s">
        <v>35</v>
      </c>
    </row>
    <row r="43" customHeight="1" spans="1:4">
      <c r="A43" s="29" t="str">
        <f>IFERROR(__xludf.DUMMYFUNCTION("""COMPUTED_VALUE"""),"iPhone 14 Pro 128G")</f>
        <v>iPhone 14 Pro 128G</v>
      </c>
      <c r="B43" s="30">
        <f>IFERROR(__xludf.DUMMYFUNCTION("""COMPUTED_VALUE"""),475.902923029986)</f>
        <v>475.902923029986</v>
      </c>
      <c r="C43" s="30">
        <f>IFERROR(__xludf.DUMMYFUNCTION("""COMPUTED_VALUE"""),459.89063127615)</f>
        <v>459.89063127615</v>
      </c>
      <c r="D43" s="28" t="s">
        <v>35</v>
      </c>
    </row>
    <row r="44" customHeight="1" spans="1:4">
      <c r="A44" s="29" t="str">
        <f>IFERROR(__xludf.DUMMYFUNCTION("""COMPUTED_VALUE"""),"iPhone 14 Pro 256G")</f>
        <v>iPhone 14 Pro 256G</v>
      </c>
      <c r="B44" s="30">
        <f>IFERROR(__xludf.DUMMYFUNCTION("""COMPUTED_VALUE"""),505.396335171801)</f>
        <v>505.396335171801</v>
      </c>
      <c r="C44" s="30">
        <f>IFERROR(__xludf.DUMMYFUNCTION("""COMPUTED_VALUE"""),488.890974219179)</f>
        <v>488.890974219179</v>
      </c>
      <c r="D44" s="28" t="s">
        <v>35</v>
      </c>
    </row>
    <row r="45" customHeight="1" spans="1:4">
      <c r="A45" s="29" t="str">
        <f>IFERROR(__xludf.DUMMYFUNCTION("""COMPUTED_VALUE"""),"iPhone 14 Pro 512G")</f>
        <v>iPhone 14 Pro 512G</v>
      </c>
      <c r="B45" s="30">
        <f>IFERROR(__xludf.DUMMYFUNCTION("""COMPUTED_VALUE"""),510.453496513249)</f>
        <v>510.453496513249</v>
      </c>
      <c r="C45" s="30">
        <f>IFERROR(__xludf.DUMMYFUNCTION("""COMPUTED_VALUE"""),493.818230590422)</f>
        <v>493.818230590422</v>
      </c>
      <c r="D45" s="28" t="s">
        <v>35</v>
      </c>
    </row>
    <row r="46" customHeight="1" spans="1:4">
      <c r="A46" s="29" t="str">
        <f>IFERROR(__xludf.DUMMYFUNCTION("""COMPUTED_VALUE"""),"iPhone 14 Pro 1T")</f>
        <v>iPhone 14 Pro 1T</v>
      </c>
      <c r="B46" s="30">
        <f>IFERROR(__xludf.DUMMYFUNCTION("""COMPUTED_VALUE"""),528.20467974198)</f>
        <v>528.20467974198</v>
      </c>
      <c r="C46" s="30">
        <f>IFERROR(__xludf.DUMMYFUNCTION("""COMPUTED_VALUE"""),511.40285251046)</f>
        <v>511.40285251046</v>
      </c>
      <c r="D46" s="28" t="s">
        <v>35</v>
      </c>
    </row>
    <row r="47" customHeight="1" spans="1:4">
      <c r="A47" s="29" t="str">
        <f>IFERROR(__xludf.DUMMYFUNCTION("""COMPUTED_VALUE"""),"iPhone 14 Pro Max 128G")</f>
        <v>iPhone 14 Pro Max 128G</v>
      </c>
      <c r="B47" s="30">
        <f>IFERROR(__xludf.DUMMYFUNCTION("""COMPUTED_VALUE"""),576.552714365411)</f>
        <v>576.552714365411</v>
      </c>
      <c r="C47" s="30">
        <f>IFERROR(__xludf.DUMMYFUNCTION("""COMPUTED_VALUE"""),559.66420846118)</f>
        <v>559.66420846118</v>
      </c>
      <c r="D47" s="28" t="s">
        <v>35</v>
      </c>
    </row>
    <row r="48" customHeight="1" spans="1:4">
      <c r="A48" s="29" t="str">
        <f>IFERROR(__xludf.DUMMYFUNCTION("""COMPUTED_VALUE"""),"iPhone 14 Pro Max 256G")</f>
        <v>iPhone 14 Pro Max 256G</v>
      </c>
      <c r="B48" s="30">
        <f>IFERROR(__xludf.DUMMYFUNCTION("""COMPUTED_VALUE"""),605.021892100925)</f>
        <v>605.021892100925</v>
      </c>
      <c r="C48" s="30">
        <f>IFERROR(__xludf.DUMMYFUNCTION("""COMPUTED_VALUE"""),587.696129749376)</f>
        <v>587.696129749376</v>
      </c>
      <c r="D48" s="28" t="s">
        <v>35</v>
      </c>
    </row>
    <row r="49" customHeight="1" spans="1:4">
      <c r="A49" s="29" t="str">
        <f>IFERROR(__xludf.DUMMYFUNCTION("""COMPUTED_VALUE"""),"iPhone 14 Pro Max 512G")</f>
        <v>iPhone 14 Pro Max 512G</v>
      </c>
      <c r="B49" s="30">
        <f>IFERROR(__xludf.DUMMYFUNCTION("""COMPUTED_VALUE"""),627.20230869363)</f>
        <v>627.20230869363</v>
      </c>
      <c r="C49" s="30">
        <f>IFERROR(__xludf.DUMMYFUNCTION("""COMPUTED_VALUE"""),609.613308848597)</f>
        <v>609.613308848597</v>
      </c>
      <c r="D49" s="28" t="s">
        <v>35</v>
      </c>
    </row>
    <row r="50" customHeight="1" spans="1:4">
      <c r="A50" s="29" t="str">
        <f>IFERROR(__xludf.DUMMYFUNCTION("""COMPUTED_VALUE"""),"iPhone 14 Pro Max 1T")</f>
        <v>iPhone 14 Pro Max 1T</v>
      </c>
      <c r="B50" s="30">
        <f>IFERROR(__xludf.DUMMYFUNCTION("""COMPUTED_VALUE"""),647.896016039051)</f>
        <v>647.896016039051</v>
      </c>
      <c r="C50" s="30">
        <f>IFERROR(__xludf.DUMMYFUNCTION("""COMPUTED_VALUE"""),630.096576940957)</f>
        <v>630.096576940957</v>
      </c>
      <c r="D50" s="28" t="s">
        <v>35</v>
      </c>
    </row>
    <row r="51" customHeight="1" spans="1:4">
      <c r="A51" s="29" t="str">
        <f>IFERROR(__xludf.DUMMYFUNCTION("""COMPUTED_VALUE"""),"iPhone 15 128G")</f>
        <v>iPhone 15 128G</v>
      </c>
      <c r="B51" s="30">
        <f>IFERROR(__xludf.DUMMYFUNCTION("""COMPUTED_VALUE"""),449.445264993026)</f>
        <v>449.445264993026</v>
      </c>
      <c r="C51" s="30">
        <f>IFERROR(__xludf.DUMMYFUNCTION("""COMPUTED_VALUE"""),433.712463970246)</f>
        <v>433.712463970246</v>
      </c>
      <c r="D51" s="28" t="s">
        <v>35</v>
      </c>
    </row>
    <row r="52" customHeight="1" spans="1:4">
      <c r="A52" s="29" t="str">
        <f>IFERROR(__xludf.DUMMYFUNCTION("""COMPUTED_VALUE"""),"iPhone 15 256G")</f>
        <v>iPhone 15 256G</v>
      </c>
      <c r="B52" s="30">
        <f>IFERROR(__xludf.DUMMYFUNCTION("""COMPUTED_VALUE"""),504.225366806136)</f>
        <v>504.225366806136</v>
      </c>
      <c r="C52" s="30">
        <f>IFERROR(__xludf.DUMMYFUNCTION("""COMPUTED_VALUE"""),488.181532310553)</f>
        <v>488.181532310553</v>
      </c>
      <c r="D52" s="28" t="s">
        <v>35</v>
      </c>
    </row>
    <row r="53" customHeight="1" spans="1:4">
      <c r="A53" s="29" t="str">
        <f>IFERROR(__xludf.DUMMYFUNCTION("""COMPUTED_VALUE"""),"iPhone 15 512G")</f>
        <v>iPhone 15 512G</v>
      </c>
      <c r="B53" s="30">
        <f>IFERROR(__xludf.DUMMYFUNCTION("""COMPUTED_VALUE"""),523.4975)</f>
        <v>523.4975</v>
      </c>
      <c r="C53" s="30">
        <f>IFERROR(__xludf.DUMMYFUNCTION("""COMPUTED_VALUE"""),507.257398884239)</f>
        <v>507.257398884239</v>
      </c>
      <c r="D53" s="28" t="s">
        <v>35</v>
      </c>
    </row>
    <row r="54" customHeight="1" spans="1:4">
      <c r="A54" s="29" t="str">
        <f>IFERROR(__xludf.DUMMYFUNCTION("""COMPUTED_VALUE"""),"iPhone 15 Plus 128G")</f>
        <v>iPhone 15 Plus 128G</v>
      </c>
      <c r="B54" s="30">
        <f>IFERROR(__xludf.DUMMYFUNCTION("""COMPUTED_VALUE"""),492.959625)</f>
        <v>492.959625</v>
      </c>
      <c r="C54" s="30">
        <f>IFERROR(__xludf.DUMMYFUNCTION("""COMPUTED_VALUE"""),476.878577455668)</f>
        <v>476.878577455668</v>
      </c>
      <c r="D54" s="28" t="s">
        <v>35</v>
      </c>
    </row>
    <row r="55" customHeight="1" spans="1:4">
      <c r="A55" s="29" t="str">
        <f>IFERROR(__xludf.DUMMYFUNCTION("""COMPUTED_VALUE"""),"iPhone 15 Plus 256G")</f>
        <v>iPhone 15 Plus 256G</v>
      </c>
      <c r="B55" s="30">
        <f>IFERROR(__xludf.DUMMYFUNCTION("""COMPUTED_VALUE"""),532.623127615062)</f>
        <v>532.623127615062</v>
      </c>
      <c r="C55" s="30">
        <f>IFERROR(__xludf.DUMMYFUNCTION("""COMPUTED_VALUE"""),516.294428172943)</f>
        <v>516.294428172943</v>
      </c>
      <c r="D55" s="28" t="s">
        <v>35</v>
      </c>
    </row>
    <row r="56" customHeight="1" spans="1:4">
      <c r="A56" s="29" t="str">
        <f>IFERROR(__xludf.DUMMYFUNCTION("""COMPUTED_VALUE"""),"iPhone 15 Plus 512G")</f>
        <v>iPhone 15 Plus 512G</v>
      </c>
      <c r="B56" s="30">
        <f>IFERROR(__xludf.DUMMYFUNCTION("""COMPUTED_VALUE"""),575.358)</f>
        <v>575.358</v>
      </c>
      <c r="C56" s="30">
        <f>IFERROR(__xludf.DUMMYFUNCTION("""COMPUTED_VALUE"""),558.614398884239)</f>
        <v>558.614398884239</v>
      </c>
      <c r="D56" s="28" t="s">
        <v>35</v>
      </c>
    </row>
    <row r="57" customHeight="1" spans="1:4">
      <c r="A57" s="29" t="str">
        <f>IFERROR(__xludf.DUMMYFUNCTION("""COMPUTED_VALUE"""),"iPhone 15 Pro 128G")</f>
        <v>iPhone 15 Pro 128G</v>
      </c>
      <c r="B57" s="30">
        <f>IFERROR(__xludf.DUMMYFUNCTION("""COMPUTED_VALUE"""),620.944191020276)</f>
        <v>620.944191020276</v>
      </c>
      <c r="C57" s="30">
        <f>IFERROR(__xludf.DUMMYFUNCTION("""COMPUTED_VALUE"""),603.352628795193)</f>
        <v>603.352628795193</v>
      </c>
      <c r="D57" s="28" t="s">
        <v>35</v>
      </c>
    </row>
    <row r="58" customHeight="1" spans="1:4">
      <c r="A58" s="29" t="str">
        <f>IFERROR(__xludf.DUMMYFUNCTION("""COMPUTED_VALUE"""),"iPhone 15 Pro 256G")</f>
        <v>iPhone 15 Pro 256G</v>
      </c>
      <c r="B58" s="30">
        <f>IFERROR(__xludf.DUMMYFUNCTION("""COMPUTED_VALUE"""),634.215403666069)</f>
        <v>634.215403666069</v>
      </c>
      <c r="C58" s="30">
        <f>IFERROR(__xludf.DUMMYFUNCTION("""COMPUTED_VALUE"""),616.309810852095)</f>
        <v>616.309810852095</v>
      </c>
      <c r="D58" s="28" t="s">
        <v>35</v>
      </c>
    </row>
    <row r="59" customHeight="1" spans="1:4">
      <c r="A59" s="29" t="str">
        <f>IFERROR(__xludf.DUMMYFUNCTION("""COMPUTED_VALUE"""),"iPhone 15 Pro 512G")</f>
        <v>iPhone 15 Pro 512G</v>
      </c>
      <c r="B59" s="30">
        <f>IFERROR(__xludf.DUMMYFUNCTION("""COMPUTED_VALUE"""),675.38670571827)</f>
        <v>675.38670571827</v>
      </c>
      <c r="C59" s="30">
        <f>IFERROR(__xludf.DUMMYFUNCTION("""COMPUTED_VALUE"""),657.255655309822)</f>
        <v>657.255655309822</v>
      </c>
      <c r="D59" s="28" t="s">
        <v>35</v>
      </c>
    </row>
    <row r="60" customHeight="1" spans="1:4">
      <c r="A60" s="29" t="str">
        <f>IFERROR(__xludf.DUMMYFUNCTION("""COMPUTED_VALUE"""),"iPhone 15 Pro 1T")</f>
        <v>iPhone 15 Pro 1T</v>
      </c>
      <c r="B60" s="30">
        <f>IFERROR(__xludf.DUMMYFUNCTION("""COMPUTED_VALUE"""),692.81320599721)</f>
        <v>692.81320599721</v>
      </c>
      <c r="C60" s="30">
        <f>IFERROR(__xludf.DUMMYFUNCTION("""COMPUTED_VALUE"""),674.127037377963)</f>
        <v>674.127037377963</v>
      </c>
      <c r="D60" s="28" t="s">
        <v>35</v>
      </c>
    </row>
    <row r="61" customHeight="1" spans="1:4">
      <c r="A61" s="29" t="str">
        <f>IFERROR(__xludf.DUMMYFUNCTION("""COMPUTED_VALUE"""),"iPhone 15 Pro Max 256G")</f>
        <v>iPhone 15 Pro Max 256G</v>
      </c>
      <c r="B61" s="30">
        <f>IFERROR(__xludf.DUMMYFUNCTION("""COMPUTED_VALUE"""),726.239075313807)</f>
        <v>726.239075313807</v>
      </c>
      <c r="C61" s="30">
        <f>IFERROR(__xludf.DUMMYFUNCTION("""COMPUTED_VALUE"""),707.201782426778)</f>
        <v>707.201782426778</v>
      </c>
      <c r="D61" s="28" t="s">
        <v>35</v>
      </c>
    </row>
    <row r="62" customHeight="1" spans="1:4">
      <c r="A62" s="29" t="str">
        <f>IFERROR(__xludf.DUMMYFUNCTION("""COMPUTED_VALUE"""),"iPhone 15 Pro Max 512G")</f>
        <v>iPhone 15 Pro Max 512G</v>
      </c>
      <c r="B62" s="30">
        <f>IFERROR(__xludf.DUMMYFUNCTION("""COMPUTED_VALUE"""),772.858838214783)</f>
        <v>772.858838214783</v>
      </c>
      <c r="C62" s="30">
        <f>IFERROR(__xludf.DUMMYFUNCTION("""COMPUTED_VALUE"""),753.624069735006)</f>
        <v>753.624069735006</v>
      </c>
      <c r="D62" s="28" t="s">
        <v>35</v>
      </c>
    </row>
    <row r="63" customHeight="1" spans="1:4">
      <c r="A63" s="29" t="str">
        <f>IFERROR(__xludf.DUMMYFUNCTION("""COMPUTED_VALUE"""),"iPhone 15 Pro Max 1T")</f>
        <v>iPhone 15 Pro Max 1T</v>
      </c>
      <c r="B63" s="30">
        <f>IFERROR(__xludf.DUMMYFUNCTION("""COMPUTED_VALUE"""),795.00440794979)</f>
        <v>795.00440794979</v>
      </c>
      <c r="C63" s="30">
        <f>IFERROR(__xludf.DUMMYFUNCTION("""COMPUTED_VALUE"""),775.473673175267)</f>
        <v>775.473673175267</v>
      </c>
      <c r="D63" s="28" t="s">
        <v>35</v>
      </c>
    </row>
    <row r="64" customHeight="1" spans="1:4">
      <c r="A64" s="29" t="str">
        <f>IFERROR(__xludf.DUMMYFUNCTION("""COMPUTED_VALUE"""),"iPhone 16 128G")</f>
        <v>iPhone 16 128G</v>
      </c>
      <c r="B64" s="30">
        <f>IFERROR(__xludf.DUMMYFUNCTION("""COMPUTED_VALUE"""),604.061175)</f>
        <v>604.061175</v>
      </c>
      <c r="C64" s="30">
        <f>IFERROR(__xludf.DUMMYFUNCTION("""COMPUTED_VALUE"""),586.964848884239)</f>
        <v>586.964848884239</v>
      </c>
      <c r="D64" s="28" t="s">
        <v>35</v>
      </c>
    </row>
    <row r="65" customHeight="1" spans="1:4">
      <c r="A65" s="29" t="str">
        <f>IFERROR(__xludf.DUMMYFUNCTION("""COMPUTED_VALUE"""),"iPhone 16 256G")</f>
        <v>iPhone 16 256G</v>
      </c>
      <c r="B65" s="30">
        <f>IFERROR(__xludf.DUMMYFUNCTION("""COMPUTED_VALUE"""),651.158788461538)</f>
        <v>651.158788461538</v>
      </c>
      <c r="C65" s="30">
        <f>IFERROR(__xludf.DUMMYFUNCTION("""COMPUTED_VALUE"""),633.677745038086)</f>
        <v>633.677745038086</v>
      </c>
      <c r="D65" s="28" t="s">
        <v>35</v>
      </c>
    </row>
    <row r="66" customHeight="1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8" t="s">
        <v>35</v>
      </c>
    </row>
    <row r="67" customHeight="1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8" t="s">
        <v>35</v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  <row r="1001" customHeight="1" spans="1:4">
      <c r="A1001" s="27"/>
      <c r="B1001" s="28"/>
      <c r="C1001" s="28"/>
      <c r="D1001" s="28"/>
    </row>
    <row r="1002" customHeight="1" spans="1:4">
      <c r="A1002" s="27"/>
      <c r="B1002" s="28"/>
      <c r="C1002" s="28"/>
      <c r="D1002" s="28"/>
    </row>
    <row r="1003" customHeight="1" spans="1:4">
      <c r="A1003" s="27"/>
      <c r="B1003" s="28"/>
      <c r="C1003" s="28"/>
      <c r="D1003" s="28"/>
    </row>
    <row r="1004" customHeight="1" spans="1:4">
      <c r="A1004" s="27"/>
      <c r="B1004" s="28"/>
      <c r="C1004" s="28"/>
      <c r="D1004" s="28"/>
    </row>
    <row r="1005" customHeight="1" spans="1:4">
      <c r="A1005" s="27"/>
      <c r="B1005" s="28"/>
      <c r="C1005" s="28"/>
      <c r="D1005" s="28"/>
    </row>
    <row r="1006" customHeight="1" spans="1:4">
      <c r="A1006" s="27"/>
      <c r="B1006" s="28"/>
      <c r="C1006" s="28"/>
      <c r="D1006" s="28"/>
    </row>
    <row r="1007" customHeight="1" spans="1:4">
      <c r="A1007" s="27"/>
      <c r="B1007" s="28"/>
      <c r="C1007" s="28"/>
      <c r="D1007" s="28"/>
    </row>
    <row r="1008" customHeight="1" spans="1:4">
      <c r="A1008" s="27"/>
      <c r="B1008" s="28"/>
      <c r="C1008" s="28"/>
      <c r="D1008" s="28"/>
    </row>
    <row r="1009" customHeight="1" spans="1:4">
      <c r="A1009" s="27"/>
      <c r="B1009" s="28"/>
      <c r="C1009" s="28"/>
      <c r="D1009" s="28"/>
    </row>
    <row r="1010" customHeight="1" spans="1:4">
      <c r="A1010" s="27"/>
      <c r="B1010" s="28"/>
      <c r="C1010" s="28"/>
      <c r="D1010" s="28"/>
    </row>
    <row r="1011" customHeight="1" spans="1:4">
      <c r="A1011" s="27"/>
      <c r="B1011" s="28"/>
      <c r="C1011" s="28"/>
      <c r="D1011" s="28"/>
    </row>
    <row r="1012" customHeight="1" spans="1:4">
      <c r="A1012" s="27"/>
      <c r="B1012" s="28"/>
      <c r="C1012" s="28"/>
      <c r="D1012" s="28"/>
    </row>
    <row r="1013" customHeight="1" spans="1:4">
      <c r="A1013" s="27"/>
      <c r="B1013" s="28"/>
      <c r="C1013" s="28"/>
      <c r="D1013" s="28"/>
    </row>
    <row r="1014" customHeight="1" spans="1:4">
      <c r="A1014" s="27"/>
      <c r="B1014" s="28"/>
      <c r="C1014" s="28"/>
      <c r="D1014" s="28"/>
    </row>
    <row r="1015" customHeight="1" spans="1:4">
      <c r="A1015" s="27"/>
      <c r="B1015" s="28"/>
      <c r="C1015" s="28"/>
      <c r="D1015" s="28"/>
    </row>
    <row r="1016" customHeight="1" spans="1:4">
      <c r="A1016" s="27"/>
      <c r="B1016" s="28"/>
      <c r="C1016" s="28"/>
      <c r="D1016" s="28"/>
    </row>
    <row r="1017" customHeight="1" spans="1:4">
      <c r="A1017" s="27"/>
      <c r="B1017" s="28"/>
      <c r="C1017" s="28"/>
      <c r="D1017" s="28"/>
    </row>
    <row r="1018" customHeight="1" spans="1:4">
      <c r="A1018" s="27"/>
      <c r="B1018" s="28"/>
      <c r="C1018" s="28"/>
      <c r="D1018" s="28"/>
    </row>
    <row r="1019" customHeight="1" spans="1:4">
      <c r="A1019" s="27"/>
      <c r="B1019" s="28"/>
      <c r="C1019" s="28"/>
      <c r="D1019" s="28"/>
    </row>
    <row r="1020" customHeight="1" spans="1:4">
      <c r="A1020" s="27"/>
      <c r="B1020" s="28"/>
      <c r="C1020" s="28"/>
      <c r="D1020" s="28"/>
    </row>
    <row r="1021" customHeight="1" spans="1:4">
      <c r="A1021" s="27"/>
      <c r="B1021" s="28"/>
      <c r="C1021" s="28"/>
      <c r="D1021" s="28"/>
    </row>
    <row r="1022" customHeight="1" spans="1:4">
      <c r="A1022" s="27"/>
      <c r="B1022" s="28"/>
      <c r="C1022" s="28"/>
      <c r="D1022" s="28"/>
    </row>
    <row r="1023" customHeight="1" spans="1:4">
      <c r="A1023" s="27"/>
      <c r="B1023" s="28"/>
      <c r="C1023" s="28"/>
      <c r="D1023" s="28"/>
    </row>
    <row r="1024" customHeight="1" spans="1:4">
      <c r="A1024" s="27"/>
      <c r="B1024" s="28"/>
      <c r="C1024" s="28"/>
      <c r="D1024" s="28"/>
    </row>
    <row r="1025" customHeight="1" spans="1:4">
      <c r="A1025" s="27"/>
      <c r="B1025" s="28"/>
      <c r="C1025" s="28"/>
      <c r="D1025" s="28"/>
    </row>
    <row r="1026" customHeight="1" spans="1:4">
      <c r="A1026" s="27"/>
      <c r="B1026" s="28"/>
      <c r="C1026" s="28"/>
      <c r="D1026" s="28"/>
    </row>
    <row r="1027" customHeight="1" spans="1:4">
      <c r="A1027" s="27"/>
      <c r="B1027" s="28"/>
      <c r="C1027" s="28"/>
      <c r="D1027" s="28"/>
    </row>
    <row r="1028" customHeight="1" spans="1:4">
      <c r="A1028" s="27"/>
      <c r="B1028" s="28"/>
      <c r="C1028" s="28"/>
      <c r="D1028" s="28"/>
    </row>
    <row r="1029" customHeight="1" spans="1:4">
      <c r="A1029" s="27"/>
      <c r="B1029" s="28"/>
      <c r="C1029" s="28"/>
      <c r="D1029" s="28"/>
    </row>
    <row r="1030" customHeight="1" spans="1:4">
      <c r="A1030" s="27"/>
      <c r="B1030" s="28"/>
      <c r="C1030" s="28"/>
      <c r="D1030" s="28"/>
    </row>
    <row r="1031" customHeight="1" spans="1:4">
      <c r="A1031" s="27"/>
      <c r="B1031" s="28"/>
      <c r="C1031" s="28"/>
      <c r="D1031" s="28"/>
    </row>
    <row r="1032" customHeight="1" spans="1:4">
      <c r="A1032" s="27"/>
      <c r="B1032" s="28"/>
      <c r="C1032" s="28"/>
      <c r="D1032" s="28"/>
    </row>
    <row r="1033" customHeight="1" spans="1:4">
      <c r="A1033" s="27"/>
      <c r="B1033" s="28"/>
      <c r="C1033" s="28"/>
      <c r="D1033" s="28"/>
    </row>
    <row r="1034" customHeight="1" spans="1:4">
      <c r="A1034" s="27"/>
      <c r="B1034" s="28"/>
      <c r="C1034" s="28"/>
      <c r="D1034" s="28"/>
    </row>
    <row r="1035" customHeight="1" spans="1:4">
      <c r="A1035" s="27"/>
      <c r="B1035" s="28"/>
      <c r="C1035" s="28"/>
      <c r="D1035" s="28"/>
    </row>
    <row r="1036" customHeight="1" spans="1:4">
      <c r="A1036" s="27"/>
      <c r="B1036" s="28"/>
      <c r="C1036" s="28"/>
      <c r="D1036" s="28"/>
    </row>
    <row r="1037" customHeight="1" spans="1:4">
      <c r="A1037" s="27"/>
      <c r="B1037" s="28"/>
      <c r="C1037" s="28"/>
      <c r="D1037" s="28"/>
    </row>
    <row r="1038" customHeight="1" spans="1:4">
      <c r="A1038" s="27"/>
      <c r="B1038" s="28"/>
      <c r="C1038" s="28"/>
      <c r="D1038" s="28"/>
    </row>
    <row r="1039" customHeight="1" spans="1:4">
      <c r="A1039" s="27"/>
      <c r="B1039" s="28"/>
      <c r="C1039" s="28"/>
      <c r="D1039" s="28"/>
    </row>
    <row r="1040" customHeight="1" spans="1:4">
      <c r="A1040" s="27"/>
      <c r="B1040" s="28"/>
      <c r="C1040" s="28"/>
      <c r="D1040" s="28"/>
    </row>
    <row r="1041" customHeight="1" spans="1:4">
      <c r="A1041" s="27"/>
      <c r="B1041" s="28"/>
      <c r="C1041" s="28"/>
      <c r="D1041" s="28"/>
    </row>
    <row r="1042" customHeight="1" spans="1:4">
      <c r="A1042" s="27"/>
      <c r="B1042" s="28"/>
      <c r="C1042" s="28"/>
      <c r="D1042" s="28"/>
    </row>
    <row r="1043" customHeight="1" spans="1:4">
      <c r="A1043" s="27"/>
      <c r="B1043" s="28"/>
      <c r="C1043" s="28"/>
      <c r="D1043" s="28"/>
    </row>
    <row r="1044" customHeight="1" spans="1:4">
      <c r="A1044" s="27"/>
      <c r="B1044" s="28"/>
      <c r="C1044" s="28"/>
      <c r="D1044" s="28"/>
    </row>
    <row r="1045" customHeight="1" spans="1:4">
      <c r="A1045" s="27"/>
      <c r="B1045" s="28"/>
      <c r="C1045" s="28"/>
      <c r="D1045" s="28"/>
    </row>
    <row r="1046" customHeight="1" spans="1:4">
      <c r="A1046" s="27"/>
      <c r="B1046" s="28"/>
      <c r="C1046" s="28"/>
      <c r="D1046" s="28"/>
    </row>
    <row r="1047" customHeight="1" spans="1:4">
      <c r="A1047" s="27"/>
      <c r="B1047" s="28"/>
      <c r="C1047" s="28"/>
      <c r="D1047" s="28"/>
    </row>
    <row r="1048" customHeight="1" spans="1:4">
      <c r="A1048" s="27"/>
      <c r="B1048" s="28"/>
      <c r="C1048" s="28"/>
      <c r="D1048" s="28"/>
    </row>
    <row r="1049" customHeight="1" spans="1:4">
      <c r="A1049" s="27"/>
      <c r="B1049" s="28"/>
      <c r="C1049" s="28"/>
      <c r="D1049" s="28"/>
    </row>
    <row r="1050" customHeight="1" spans="1:4">
      <c r="A1050" s="27"/>
      <c r="B1050" s="28"/>
      <c r="C1050" s="28"/>
      <c r="D1050" s="28"/>
    </row>
    <row r="1051" customHeight="1" spans="1:4">
      <c r="A1051" s="27"/>
      <c r="B1051" s="28"/>
      <c r="C1051" s="28"/>
      <c r="D1051" s="28"/>
    </row>
    <row r="1052" customHeight="1" spans="1:4">
      <c r="A1052" s="27"/>
      <c r="B1052" s="28"/>
      <c r="C1052" s="28"/>
      <c r="D1052" s="28"/>
    </row>
    <row r="1053" customHeight="1" spans="1:4">
      <c r="A1053" s="27"/>
      <c r="B1053" s="28"/>
      <c r="C1053" s="28"/>
      <c r="D1053" s="28"/>
    </row>
    <row r="1054" customHeight="1" spans="1:4">
      <c r="A1054" s="27"/>
      <c r="B1054" s="28"/>
      <c r="C1054" s="28"/>
      <c r="D1054" s="28"/>
    </row>
    <row r="1055" customHeight="1" spans="1:4">
      <c r="A1055" s="27"/>
      <c r="B1055" s="28"/>
      <c r="C1055" s="28"/>
      <c r="D1055" s="28"/>
    </row>
    <row r="1056" customHeight="1" spans="1:4">
      <c r="A1056" s="27"/>
      <c r="B1056" s="28"/>
      <c r="C1056" s="28"/>
      <c r="D1056" s="28"/>
    </row>
    <row r="1057" customHeight="1" spans="1:4">
      <c r="A1057" s="27"/>
      <c r="B1057" s="28"/>
      <c r="C1057" s="28"/>
      <c r="D1057" s="28"/>
    </row>
    <row r="1058" customHeight="1" spans="1:4">
      <c r="A1058" s="27"/>
      <c r="B1058" s="28"/>
      <c r="C1058" s="28"/>
      <c r="D1058" s="28"/>
    </row>
    <row r="1059" customHeight="1" spans="1:4">
      <c r="A1059" s="27"/>
      <c r="B1059" s="28"/>
      <c r="C1059" s="28"/>
      <c r="D1059" s="28"/>
    </row>
    <row r="1060" customHeight="1" spans="1:4">
      <c r="A1060" s="27"/>
      <c r="B1060" s="28"/>
      <c r="C1060" s="28"/>
      <c r="D1060" s="28"/>
    </row>
    <row r="1061" customHeight="1" spans="1:4">
      <c r="A1061" s="27"/>
      <c r="B1061" s="28"/>
      <c r="C1061" s="28"/>
      <c r="D1061" s="28"/>
    </row>
    <row r="1062" customHeight="1" spans="1:4">
      <c r="A1062" s="27"/>
      <c r="B1062" s="28"/>
      <c r="C1062" s="28"/>
      <c r="D1062" s="28"/>
    </row>
    <row r="1063" customHeight="1" spans="1:4">
      <c r="A1063" s="27"/>
      <c r="B1063" s="28"/>
      <c r="C1063" s="28"/>
      <c r="D1063" s="28"/>
    </row>
    <row r="1064" customHeight="1" spans="1:4">
      <c r="A1064" s="27"/>
      <c r="B1064" s="28"/>
      <c r="C1064" s="28"/>
      <c r="D1064" s="28"/>
    </row>
    <row r="1065" customHeight="1" spans="1:4">
      <c r="A1065" s="27"/>
      <c r="B1065" s="28"/>
      <c r="C1065" s="28"/>
      <c r="D1065" s="28"/>
    </row>
    <row r="1066" customHeight="1" spans="1:4">
      <c r="A1066" s="27"/>
      <c r="B1066" s="28"/>
      <c r="C1066" s="28"/>
      <c r="D1066" s="28"/>
    </row>
    <row r="1067" customHeight="1" spans="1:4">
      <c r="A1067" s="27"/>
      <c r="B1067" s="28"/>
      <c r="C1067" s="28"/>
      <c r="D1067" s="28"/>
    </row>
    <row r="1068" customHeight="1" spans="1:4">
      <c r="A1068" s="27"/>
      <c r="B1068" s="28"/>
      <c r="C1068" s="28"/>
      <c r="D1068" s="28"/>
    </row>
    <row r="1069" customHeight="1" spans="1:4">
      <c r="A1069" s="27"/>
      <c r="B1069" s="28"/>
      <c r="C1069" s="28"/>
      <c r="D1069" s="28"/>
    </row>
    <row r="1070" customHeight="1" spans="1:4">
      <c r="A1070" s="27"/>
      <c r="B1070" s="28"/>
      <c r="C1070" s="28"/>
      <c r="D1070" s="28"/>
    </row>
    <row r="1071" customHeight="1" spans="1:4">
      <c r="A1071" s="27"/>
      <c r="B1071" s="28"/>
      <c r="C1071" s="28"/>
      <c r="D1071" s="28"/>
    </row>
    <row r="1072" customHeight="1" spans="1:4">
      <c r="A1072" s="27"/>
      <c r="B1072" s="28"/>
      <c r="C1072" s="28"/>
      <c r="D1072" s="28"/>
    </row>
    <row r="1073" customHeight="1" spans="1:4">
      <c r="A1073" s="27"/>
      <c r="B1073" s="28"/>
      <c r="C1073" s="28"/>
      <c r="D1073" s="28"/>
    </row>
    <row r="1074" customHeight="1" spans="1:4">
      <c r="A1074" s="27"/>
      <c r="B1074" s="28"/>
      <c r="C1074" s="28"/>
      <c r="D1074" s="28"/>
    </row>
    <row r="1075" customHeight="1" spans="1:4">
      <c r="A1075" s="27"/>
      <c r="B1075" s="28"/>
      <c r="C1075" s="28"/>
      <c r="D1075" s="28"/>
    </row>
    <row r="1076" customHeight="1" spans="1:4">
      <c r="A1076" s="27"/>
      <c r="B1076" s="28"/>
      <c r="C1076" s="28"/>
      <c r="D1076" s="28"/>
    </row>
    <row r="1077" customHeight="1" spans="1:4">
      <c r="A1077" s="27"/>
      <c r="B1077" s="28"/>
      <c r="C1077" s="28"/>
      <c r="D1077" s="28"/>
    </row>
    <row r="1078" customHeight="1" spans="1:4">
      <c r="A1078" s="27"/>
      <c r="B1078" s="28"/>
      <c r="C1078" s="28"/>
      <c r="D1078" s="28"/>
    </row>
    <row r="1079" customHeight="1" spans="1:4">
      <c r="A1079" s="27"/>
      <c r="B1079" s="28"/>
      <c r="C1079" s="28"/>
      <c r="D1079" s="28"/>
    </row>
    <row r="1080" customHeight="1" spans="1:4">
      <c r="A1080" s="27"/>
      <c r="B1080" s="28"/>
      <c r="C1080" s="28"/>
      <c r="D1080" s="28"/>
    </row>
    <row r="1081" customHeight="1" spans="1:4">
      <c r="A1081" s="27"/>
      <c r="B1081" s="28"/>
      <c r="C1081" s="28"/>
      <c r="D1081" s="28"/>
    </row>
    <row r="1082" customHeight="1" spans="1:4">
      <c r="A1082" s="27"/>
      <c r="B1082" s="28"/>
      <c r="C1082" s="28"/>
      <c r="D1082" s="28"/>
    </row>
    <row r="1083" customHeight="1" spans="1:4">
      <c r="A1083" s="27"/>
      <c r="B1083" s="28"/>
      <c r="C1083" s="28"/>
      <c r="D1083" s="28"/>
    </row>
    <row r="1084" customHeight="1" spans="1:4">
      <c r="A1084" s="27"/>
      <c r="B1084" s="28"/>
      <c r="C1084" s="28"/>
      <c r="D1084" s="28"/>
    </row>
    <row r="1085" customHeight="1" spans="1:4">
      <c r="A1085" s="27"/>
      <c r="B1085" s="28"/>
      <c r="C1085" s="28"/>
      <c r="D1085" s="28"/>
    </row>
    <row r="1086" customHeight="1" spans="1:4">
      <c r="A1086" s="27"/>
      <c r="B1086" s="28"/>
      <c r="C1086" s="28"/>
      <c r="D1086" s="28"/>
    </row>
    <row r="1087" customHeight="1" spans="1:4">
      <c r="A1087" s="27"/>
      <c r="B1087" s="28"/>
      <c r="C1087" s="28"/>
      <c r="D1087" s="28"/>
    </row>
    <row r="1088" customHeight="1" spans="1:4">
      <c r="A1088" s="27"/>
      <c r="B1088" s="28"/>
      <c r="C1088" s="28"/>
      <c r="D1088" s="28"/>
    </row>
    <row r="1089" customHeight="1" spans="1:4">
      <c r="A1089" s="27"/>
      <c r="B1089" s="28"/>
      <c r="C1089" s="28"/>
      <c r="D1089" s="28"/>
    </row>
    <row r="1090" customHeight="1" spans="1:4">
      <c r="A1090" s="27"/>
      <c r="B1090" s="28"/>
      <c r="C1090" s="28"/>
      <c r="D1090" s="28"/>
    </row>
    <row r="1091" customHeight="1" spans="1:4">
      <c r="A1091" s="27"/>
      <c r="B1091" s="28"/>
      <c r="C1091" s="28"/>
      <c r="D1091" s="28"/>
    </row>
    <row r="1092" customHeight="1" spans="1:4">
      <c r="A1092" s="27"/>
      <c r="B1092" s="28"/>
      <c r="C1092" s="28"/>
      <c r="D1092" s="28"/>
    </row>
    <row r="1093" customHeight="1" spans="1:4">
      <c r="A1093" s="27"/>
      <c r="B1093" s="28"/>
      <c r="C1093" s="28"/>
      <c r="D1093" s="28"/>
    </row>
    <row r="1094" customHeight="1" spans="1:4">
      <c r="A1094" s="27"/>
      <c r="B1094" s="28"/>
      <c r="C1094" s="28"/>
      <c r="D1094" s="28"/>
    </row>
    <row r="1095" customHeight="1" spans="1:4">
      <c r="A1095" s="27"/>
      <c r="B1095" s="28"/>
      <c r="C1095" s="28"/>
      <c r="D1095" s="28"/>
    </row>
    <row r="1096" customHeight="1" spans="1:4">
      <c r="A1096" s="27"/>
      <c r="B1096" s="28"/>
      <c r="C1096" s="28"/>
      <c r="D1096" s="28"/>
    </row>
    <row r="1097" customHeight="1" spans="1:4">
      <c r="A1097" s="27"/>
      <c r="B1097" s="28"/>
      <c r="C1097" s="28"/>
      <c r="D1097" s="28"/>
    </row>
    <row r="1098" customHeight="1" spans="1:4">
      <c r="A1098" s="27"/>
      <c r="B1098" s="28"/>
      <c r="C1098" s="28"/>
      <c r="D1098" s="28"/>
    </row>
    <row r="1099" customHeight="1" spans="1:4">
      <c r="A1099" s="27"/>
      <c r="B1099" s="28"/>
      <c r="C1099" s="28"/>
      <c r="D1099" s="28"/>
    </row>
    <row r="1100" customHeight="1" spans="1:4">
      <c r="A1100" s="27"/>
      <c r="B1100" s="28"/>
      <c r="C1100" s="28"/>
      <c r="D1100" s="28"/>
    </row>
    <row r="1101" customHeight="1" spans="1:4">
      <c r="A1101" s="27"/>
      <c r="B1101" s="28"/>
      <c r="C1101" s="28"/>
      <c r="D1101" s="28"/>
    </row>
    <row r="1102" customHeight="1" spans="1:4">
      <c r="A1102" s="27"/>
      <c r="B1102" s="28"/>
      <c r="C1102" s="28"/>
      <c r="D1102" s="28"/>
    </row>
    <row r="1103" customHeight="1" spans="1:4">
      <c r="A1103" s="27"/>
      <c r="B1103" s="28"/>
      <c r="C1103" s="28"/>
      <c r="D1103" s="28"/>
    </row>
    <row r="1104" customHeight="1" spans="1:4">
      <c r="A1104" s="27"/>
      <c r="B1104" s="28"/>
      <c r="C1104" s="28"/>
      <c r="D1104" s="28"/>
    </row>
    <row r="1105" customHeight="1" spans="1:4">
      <c r="A1105" s="27"/>
      <c r="B1105" s="28"/>
      <c r="C1105" s="28"/>
      <c r="D1105" s="28"/>
    </row>
    <row r="1106" customHeight="1" spans="1:4">
      <c r="A1106" s="27"/>
      <c r="B1106" s="28"/>
      <c r="C1106" s="28"/>
      <c r="D1106" s="28"/>
    </row>
    <row r="1107" customHeight="1" spans="1:4">
      <c r="A1107" s="27"/>
      <c r="B1107" s="28"/>
      <c r="C1107" s="28"/>
      <c r="D1107" s="28"/>
    </row>
    <row r="1108" customHeight="1" spans="1:4">
      <c r="A1108" s="27"/>
      <c r="B1108" s="28"/>
      <c r="C1108" s="28"/>
      <c r="D1108" s="28"/>
    </row>
    <row r="1109" customHeight="1" spans="1:4">
      <c r="A1109" s="27"/>
      <c r="B1109" s="28"/>
      <c r="C1109" s="28"/>
      <c r="D1109" s="28"/>
    </row>
    <row r="1110" customHeight="1" spans="1:4">
      <c r="A1110" s="27"/>
      <c r="B1110" s="28"/>
      <c r="C1110" s="28"/>
      <c r="D1110" s="28"/>
    </row>
    <row r="1111" customHeight="1" spans="1:4">
      <c r="A1111" s="27"/>
      <c r="B1111" s="28"/>
      <c r="C1111" s="28"/>
      <c r="D1111" s="28"/>
    </row>
    <row r="1112" customHeight="1" spans="1:4">
      <c r="A1112" s="27"/>
      <c r="B1112" s="28"/>
      <c r="C1112" s="28"/>
      <c r="D1112" s="28"/>
    </row>
    <row r="1113" customHeight="1" spans="1:4">
      <c r="A1113" s="27"/>
      <c r="B1113" s="28"/>
      <c r="C1113" s="28"/>
      <c r="D1113" s="28"/>
    </row>
    <row r="1114" customHeight="1" spans="1:4">
      <c r="A1114" s="27"/>
      <c r="B1114" s="28"/>
      <c r="C1114" s="28"/>
      <c r="D1114" s="28"/>
    </row>
    <row r="1115" customHeight="1" spans="1:4">
      <c r="A1115" s="27"/>
      <c r="B1115" s="28"/>
      <c r="C1115" s="28"/>
      <c r="D1115" s="28"/>
    </row>
    <row r="1116" customHeight="1" spans="1:4">
      <c r="A1116" s="27"/>
      <c r="B1116" s="28"/>
      <c r="C1116" s="28"/>
      <c r="D1116" s="28"/>
    </row>
    <row r="1117" customHeight="1" spans="1:4">
      <c r="A1117" s="27"/>
      <c r="B1117" s="28"/>
      <c r="C1117" s="28"/>
      <c r="D1117" s="28"/>
    </row>
    <row r="1118" customHeight="1" spans="1:4">
      <c r="A1118" s="27"/>
      <c r="B1118" s="28"/>
      <c r="C1118" s="28"/>
      <c r="D1118" s="28"/>
    </row>
    <row r="1119" customHeight="1" spans="1:4">
      <c r="A1119" s="27"/>
      <c r="B1119" s="28"/>
      <c r="C1119" s="28"/>
      <c r="D1119" s="28"/>
    </row>
    <row r="1120" customHeight="1" spans="1:4">
      <c r="A1120" s="27"/>
      <c r="B1120" s="28"/>
      <c r="C1120" s="28"/>
      <c r="D1120" s="28"/>
    </row>
    <row r="1121" customHeight="1" spans="1:4">
      <c r="A1121" s="27"/>
      <c r="B1121" s="28"/>
      <c r="C1121" s="28"/>
      <c r="D1121" s="28"/>
    </row>
    <row r="1122" customHeight="1" spans="1:4">
      <c r="A1122" s="27"/>
      <c r="B1122" s="28"/>
      <c r="C1122" s="28"/>
      <c r="D1122" s="28"/>
    </row>
    <row r="1123" customHeight="1" spans="1:4">
      <c r="A1123" s="27"/>
      <c r="B1123" s="28"/>
      <c r="C1123" s="28"/>
      <c r="D1123" s="28"/>
    </row>
    <row r="1124" customHeight="1" spans="1:4">
      <c r="A1124" s="27"/>
      <c r="B1124" s="28"/>
      <c r="C1124" s="28"/>
      <c r="D1124" s="28"/>
    </row>
    <row r="1125" customHeight="1" spans="1:4">
      <c r="A1125" s="27"/>
      <c r="B1125" s="28"/>
      <c r="C1125" s="28"/>
      <c r="D1125" s="28"/>
    </row>
    <row r="1126" customHeight="1" spans="1:4">
      <c r="A1126" s="27"/>
      <c r="B1126" s="28"/>
      <c r="C1126" s="28"/>
      <c r="D1126" s="28"/>
    </row>
    <row r="1127" customHeight="1" spans="1:4">
      <c r="A1127" s="27"/>
      <c r="B1127" s="28"/>
      <c r="C1127" s="28"/>
      <c r="D1127" s="28"/>
    </row>
    <row r="1128" customHeight="1" spans="1:4">
      <c r="A1128" s="27"/>
      <c r="B1128" s="28"/>
      <c r="C1128" s="28"/>
      <c r="D1128" s="28"/>
    </row>
    <row r="1129" customHeight="1" spans="1:4">
      <c r="A1129" s="27"/>
      <c r="B1129" s="28"/>
      <c r="C1129" s="28"/>
      <c r="D1129" s="28"/>
    </row>
    <row r="1130" customHeight="1" spans="1:4">
      <c r="A1130" s="27"/>
      <c r="B1130" s="28"/>
      <c r="C1130" s="28"/>
      <c r="D1130" s="28"/>
    </row>
    <row r="1131" customHeight="1" spans="1:4">
      <c r="A1131" s="27"/>
      <c r="B1131" s="28"/>
      <c r="C1131" s="28"/>
      <c r="D1131" s="28"/>
    </row>
    <row r="1132" customHeight="1" spans="1:4">
      <c r="A1132" s="27"/>
      <c r="B1132" s="28"/>
      <c r="C1132" s="28"/>
      <c r="D1132" s="28"/>
    </row>
    <row r="1133" customHeight="1" spans="1:4">
      <c r="A1133" s="27"/>
      <c r="B1133" s="28"/>
      <c r="C1133" s="28"/>
      <c r="D1133" s="28"/>
    </row>
    <row r="1134" customHeight="1" spans="1:4">
      <c r="A1134" s="27"/>
      <c r="B1134" s="28"/>
      <c r="C1134" s="28"/>
      <c r="D1134" s="28"/>
    </row>
    <row r="1135" customHeight="1" spans="1:4">
      <c r="A1135" s="27"/>
      <c r="B1135" s="28"/>
      <c r="C1135" s="28"/>
      <c r="D1135" s="28"/>
    </row>
    <row r="1136" customHeight="1" spans="1:4">
      <c r="A1136" s="27"/>
      <c r="B1136" s="28"/>
      <c r="C1136" s="28"/>
      <c r="D1136" s="28"/>
    </row>
    <row r="1137" customHeight="1" spans="1:4">
      <c r="A1137" s="27"/>
      <c r="B1137" s="28"/>
      <c r="C1137" s="28"/>
      <c r="D1137" s="28"/>
    </row>
    <row r="1138" customHeight="1" spans="1:4">
      <c r="A1138" s="27"/>
      <c r="B1138" s="28"/>
      <c r="C1138" s="28"/>
      <c r="D1138" s="28"/>
    </row>
    <row r="1139" customHeight="1" spans="1:4">
      <c r="A1139" s="27"/>
      <c r="B1139" s="28"/>
      <c r="C1139" s="28"/>
      <c r="D1139" s="28"/>
    </row>
    <row r="1140" customHeight="1" spans="1:4">
      <c r="A1140" s="27"/>
      <c r="B1140" s="28"/>
      <c r="C1140" s="28"/>
      <c r="D1140" s="28"/>
    </row>
    <row r="1141" customHeight="1" spans="1:4">
      <c r="A1141" s="27"/>
      <c r="B1141" s="28"/>
      <c r="C1141" s="28"/>
      <c r="D1141" s="28"/>
    </row>
    <row r="1142" customHeight="1" spans="1:4">
      <c r="A1142" s="27"/>
      <c r="B1142" s="28"/>
      <c r="C1142" s="28"/>
      <c r="D1142" s="28"/>
    </row>
    <row r="1143" customHeight="1" spans="1:4">
      <c r="A1143" s="27"/>
      <c r="B1143" s="28"/>
      <c r="C1143" s="28"/>
      <c r="D1143" s="28"/>
    </row>
    <row r="1144" customHeight="1" spans="1:4">
      <c r="A1144" s="27"/>
      <c r="B1144" s="28"/>
      <c r="C1144" s="28"/>
      <c r="D1144" s="28"/>
    </row>
    <row r="1145" customHeight="1" spans="1:4">
      <c r="A1145" s="27"/>
      <c r="B1145" s="28"/>
      <c r="C1145" s="28"/>
      <c r="D1145" s="28"/>
    </row>
    <row r="1146" customHeight="1" spans="1:4">
      <c r="A1146" s="27"/>
      <c r="B1146" s="28"/>
      <c r="C1146" s="28"/>
      <c r="D1146" s="28"/>
    </row>
    <row r="1147" customHeight="1" spans="1:4">
      <c r="A1147" s="27"/>
      <c r="B1147" s="28"/>
      <c r="C1147" s="28"/>
      <c r="D1147" s="28"/>
    </row>
    <row r="1148" customHeight="1" spans="1:4">
      <c r="A1148" s="27"/>
      <c r="B1148" s="28"/>
      <c r="C1148" s="28"/>
      <c r="D1148" s="28"/>
    </row>
    <row r="1149" customHeight="1" spans="1:4">
      <c r="A1149" s="27"/>
      <c r="B1149" s="28"/>
      <c r="C1149" s="28"/>
      <c r="D1149" s="28"/>
    </row>
    <row r="1150" customHeight="1" spans="1:4">
      <c r="A1150" s="27"/>
      <c r="B1150" s="28"/>
      <c r="C1150" s="28"/>
      <c r="D1150" s="28"/>
    </row>
    <row r="1151" customHeight="1" spans="1:4">
      <c r="A1151" s="27"/>
      <c r="B1151" s="28"/>
      <c r="C1151" s="28"/>
      <c r="D1151" s="28"/>
    </row>
    <row r="1152" customHeight="1" spans="1:4">
      <c r="A1152" s="27"/>
      <c r="B1152" s="28"/>
      <c r="C1152" s="28"/>
      <c r="D1152" s="28"/>
    </row>
    <row r="1153" customHeight="1" spans="1:4">
      <c r="A1153" s="27"/>
      <c r="B1153" s="28"/>
      <c r="C1153" s="28"/>
      <c r="D1153" s="28"/>
    </row>
    <row r="1154" customHeight="1" spans="1:4">
      <c r="A1154" s="27"/>
      <c r="B1154" s="28"/>
      <c r="C1154" s="28"/>
      <c r="D1154" s="28"/>
    </row>
    <row r="1155" customHeight="1" spans="1:4">
      <c r="A1155" s="27"/>
      <c r="B1155" s="28"/>
      <c r="C1155" s="28"/>
      <c r="D1155" s="28"/>
    </row>
    <row r="1156" customHeight="1" spans="1:4">
      <c r="A1156" s="27"/>
      <c r="B1156" s="28"/>
      <c r="C1156" s="28"/>
      <c r="D1156" s="28"/>
    </row>
    <row r="1157" customHeight="1" spans="1:4">
      <c r="A1157" s="27"/>
      <c r="B1157" s="28"/>
      <c r="C1157" s="28"/>
      <c r="D1157" s="28"/>
    </row>
    <row r="1158" customHeight="1" spans="1:4">
      <c r="A1158" s="27"/>
      <c r="B1158" s="28"/>
      <c r="C1158" s="28"/>
      <c r="D1158" s="28"/>
    </row>
    <row r="1159" customHeight="1" spans="1:4">
      <c r="A1159" s="27"/>
      <c r="B1159" s="28"/>
      <c r="C1159" s="28"/>
      <c r="D1159" s="28"/>
    </row>
    <row r="1160" customHeight="1" spans="1:4">
      <c r="A1160" s="27"/>
      <c r="B1160" s="28"/>
      <c r="C1160" s="28"/>
      <c r="D1160" s="28"/>
    </row>
    <row r="1161" customHeight="1" spans="1:4">
      <c r="A1161" s="27"/>
      <c r="B1161" s="28"/>
      <c r="C1161" s="28"/>
      <c r="D1161" s="28"/>
    </row>
    <row r="1162" customHeight="1" spans="1:4">
      <c r="A1162" s="27"/>
      <c r="B1162" s="28"/>
      <c r="C1162" s="28"/>
      <c r="D1162" s="28"/>
    </row>
    <row r="1163" customHeight="1" spans="1:4">
      <c r="A1163" s="27"/>
      <c r="B1163" s="28"/>
      <c r="C1163" s="28"/>
      <c r="D1163" s="28"/>
    </row>
    <row r="1164" customHeight="1" spans="1:4">
      <c r="A1164" s="27"/>
      <c r="B1164" s="28"/>
      <c r="C1164" s="28"/>
      <c r="D1164" s="28"/>
    </row>
    <row r="1165" customHeight="1" spans="1:4">
      <c r="A1165" s="27"/>
      <c r="B1165" s="28"/>
      <c r="C1165" s="28"/>
      <c r="D1165" s="28"/>
    </row>
    <row r="1166" customHeight="1" spans="1:4">
      <c r="A1166" s="27"/>
      <c r="B1166" s="28"/>
      <c r="C1166" s="28"/>
      <c r="D1166" s="28"/>
    </row>
    <row r="1167" customHeight="1" spans="1:4">
      <c r="A1167" s="27"/>
      <c r="B1167" s="28"/>
      <c r="C1167" s="28"/>
      <c r="D1167" s="28"/>
    </row>
    <row r="1168" customHeight="1" spans="1:4">
      <c r="A1168" s="27"/>
      <c r="B1168" s="28"/>
      <c r="C1168" s="28"/>
      <c r="D1168" s="28"/>
    </row>
    <row r="1169" customHeight="1" spans="1:4">
      <c r="A1169" s="27"/>
      <c r="B1169" s="28"/>
      <c r="C1169" s="28"/>
      <c r="D1169" s="28"/>
    </row>
    <row r="1170" customHeight="1" spans="1:4">
      <c r="A1170" s="27"/>
      <c r="B1170" s="28"/>
      <c r="C1170" s="28"/>
      <c r="D1170" s="28"/>
    </row>
    <row r="1171" customHeight="1" spans="1:4">
      <c r="A1171" s="27"/>
      <c r="B1171" s="28"/>
      <c r="C1171" s="28"/>
      <c r="D1171" s="28"/>
    </row>
    <row r="1172" customHeight="1" spans="1:4">
      <c r="A1172" s="27"/>
      <c r="B1172" s="28"/>
      <c r="C1172" s="28"/>
      <c r="D1172" s="28"/>
    </row>
    <row r="1173" customHeight="1" spans="1:4">
      <c r="A1173" s="27"/>
      <c r="B1173" s="28"/>
      <c r="C1173" s="28"/>
      <c r="D1173" s="28"/>
    </row>
    <row r="1174" customHeight="1" spans="1:4">
      <c r="A1174" s="27"/>
      <c r="B1174" s="28"/>
      <c r="C1174" s="28"/>
      <c r="D1174" s="28"/>
    </row>
    <row r="1175" customHeight="1" spans="1:4">
      <c r="A1175" s="27"/>
      <c r="B1175" s="28"/>
      <c r="C1175" s="28"/>
      <c r="D1175" s="28"/>
    </row>
    <row r="1176" customHeight="1" spans="1:4">
      <c r="A1176" s="27"/>
      <c r="B1176" s="28"/>
      <c r="C1176" s="28"/>
      <c r="D1176" s="28"/>
    </row>
    <row r="1177" customHeight="1" spans="1:4">
      <c r="A1177" s="27"/>
      <c r="B1177" s="28"/>
      <c r="C1177" s="28"/>
      <c r="D1177" s="28"/>
    </row>
    <row r="1178" customHeight="1" spans="1:4">
      <c r="A1178" s="27"/>
      <c r="B1178" s="28"/>
      <c r="C1178" s="28"/>
      <c r="D1178" s="28"/>
    </row>
    <row r="1179" customHeight="1" spans="1:4">
      <c r="A1179" s="27"/>
      <c r="B1179" s="28"/>
      <c r="C1179" s="28"/>
      <c r="D1179" s="28"/>
    </row>
    <row r="1180" customHeight="1" spans="1:4">
      <c r="A1180" s="27"/>
      <c r="B1180" s="28"/>
      <c r="C1180" s="28"/>
      <c r="D1180" s="28"/>
    </row>
    <row r="1181" customHeight="1" spans="1:4">
      <c r="A1181" s="27"/>
      <c r="B1181" s="28"/>
      <c r="C1181" s="28"/>
      <c r="D1181" s="28"/>
    </row>
    <row r="1182" customHeight="1" spans="1:4">
      <c r="A1182" s="27"/>
      <c r="B1182" s="28"/>
      <c r="C1182" s="28"/>
      <c r="D1182" s="28"/>
    </row>
    <row r="1183" customHeight="1" spans="1:4">
      <c r="A1183" s="27"/>
      <c r="B1183" s="28"/>
      <c r="C1183" s="28"/>
      <c r="D1183" s="28"/>
    </row>
    <row r="1184" customHeight="1" spans="1:4">
      <c r="A1184" s="27"/>
      <c r="B1184" s="28"/>
      <c r="C1184" s="28"/>
      <c r="D1184" s="28"/>
    </row>
    <row r="1185" customHeight="1" spans="1:4">
      <c r="A1185" s="27"/>
      <c r="B1185" s="28"/>
      <c r="C1185" s="28"/>
      <c r="D1185" s="28"/>
    </row>
    <row r="1186" customHeight="1" spans="1:4">
      <c r="A1186" s="27"/>
      <c r="B1186" s="28"/>
      <c r="C1186" s="28"/>
      <c r="D1186" s="28"/>
    </row>
    <row r="1187" customHeight="1" spans="1:4">
      <c r="A1187" s="27"/>
      <c r="B1187" s="28"/>
      <c r="C1187" s="28"/>
      <c r="D1187" s="28"/>
    </row>
    <row r="1188" customHeight="1" spans="1:4">
      <c r="A1188" s="27"/>
      <c r="B1188" s="28"/>
      <c r="C1188" s="28"/>
      <c r="D1188" s="28"/>
    </row>
    <row r="1189" customHeight="1" spans="1:4">
      <c r="A1189" s="27"/>
      <c r="B1189" s="28"/>
      <c r="C1189" s="28"/>
      <c r="D1189" s="28"/>
    </row>
    <row r="1190" customHeight="1" spans="1:4">
      <c r="A1190" s="27"/>
      <c r="B1190" s="28"/>
      <c r="C1190" s="28"/>
      <c r="D1190" s="28"/>
    </row>
    <row r="1191" customHeight="1" spans="1:4">
      <c r="A1191" s="27"/>
      <c r="B1191" s="28"/>
      <c r="C1191" s="28"/>
      <c r="D1191" s="28"/>
    </row>
    <row r="1192" customHeight="1" spans="1:4">
      <c r="A1192" s="27"/>
      <c r="B1192" s="28"/>
      <c r="C1192" s="28"/>
      <c r="D1192" s="28"/>
    </row>
    <row r="1193" customHeight="1" spans="1:4">
      <c r="A1193" s="27"/>
      <c r="B1193" s="28"/>
      <c r="C1193" s="28"/>
      <c r="D1193" s="28"/>
    </row>
    <row r="1194" customHeight="1" spans="1:4">
      <c r="A1194" s="27"/>
      <c r="B1194" s="28"/>
      <c r="C1194" s="28"/>
      <c r="D1194" s="28"/>
    </row>
    <row r="1195" customHeight="1" spans="1:4">
      <c r="A1195" s="27"/>
      <c r="B1195" s="28"/>
      <c r="C1195" s="28"/>
      <c r="D1195" s="28"/>
    </row>
    <row r="1196" customHeight="1" spans="1:4">
      <c r="A1196" s="27"/>
      <c r="B1196" s="28"/>
      <c r="C1196" s="28"/>
      <c r="D1196" s="28"/>
    </row>
    <row r="1197" customHeight="1" spans="1:4">
      <c r="A1197" s="27"/>
      <c r="B1197" s="28"/>
      <c r="C1197" s="28"/>
      <c r="D1197" s="28"/>
    </row>
    <row r="1198" customHeight="1" spans="1:4">
      <c r="A1198" s="27"/>
      <c r="B1198" s="28"/>
      <c r="C1198" s="28"/>
      <c r="D1198" s="28"/>
    </row>
    <row r="1199" customHeight="1" spans="1:4">
      <c r="A1199" s="27"/>
      <c r="B1199" s="28"/>
      <c r="C1199" s="28"/>
      <c r="D1199" s="28"/>
    </row>
    <row r="1200" customHeight="1" spans="1:4">
      <c r="A1200" s="27"/>
      <c r="B1200" s="28"/>
      <c r="C1200" s="28"/>
      <c r="D1200" s="28"/>
    </row>
    <row r="1201" customHeight="1" spans="1:4">
      <c r="A1201" s="27"/>
      <c r="B1201" s="28"/>
      <c r="C1201" s="28"/>
      <c r="D1201" s="28"/>
    </row>
    <row r="1202" customHeight="1" spans="1:4">
      <c r="A1202" s="27"/>
      <c r="B1202" s="28"/>
      <c r="C1202" s="28"/>
      <c r="D1202" s="28"/>
    </row>
    <row r="1203" customHeight="1" spans="1:4">
      <c r="A1203" s="27"/>
      <c r="B1203" s="28"/>
      <c r="C1203" s="28"/>
      <c r="D1203" s="28"/>
    </row>
    <row r="1204" customHeight="1" spans="1:4">
      <c r="A1204" s="27"/>
      <c r="B1204" s="28"/>
      <c r="C1204" s="28"/>
      <c r="D1204" s="28"/>
    </row>
    <row r="1205" customHeight="1" spans="1:4">
      <c r="A1205" s="27"/>
      <c r="B1205" s="28"/>
      <c r="C1205" s="28"/>
      <c r="D1205" s="28"/>
    </row>
    <row r="1206" customHeight="1" spans="1:4">
      <c r="A1206" s="27"/>
      <c r="B1206" s="28"/>
      <c r="C1206" s="28"/>
      <c r="D1206" s="28"/>
    </row>
    <row r="1207" customHeight="1" spans="1:4">
      <c r="A1207" s="27"/>
      <c r="B1207" s="28"/>
      <c r="C1207" s="28"/>
      <c r="D1207" s="28"/>
    </row>
    <row r="1208" customHeight="1" spans="1:4">
      <c r="A1208" s="27"/>
      <c r="B1208" s="28"/>
      <c r="C1208" s="28"/>
      <c r="D1208" s="28"/>
    </row>
    <row r="1209" customHeight="1" spans="1:4">
      <c r="A1209" s="27"/>
      <c r="B1209" s="28"/>
      <c r="C1209" s="28"/>
      <c r="D1209" s="28"/>
    </row>
    <row r="1210" customHeight="1" spans="1:4">
      <c r="A1210" s="27"/>
      <c r="B1210" s="28"/>
      <c r="C1210" s="28"/>
      <c r="D1210" s="28"/>
    </row>
    <row r="1211" customHeight="1" spans="1:4">
      <c r="A1211" s="27"/>
      <c r="B1211" s="28"/>
      <c r="C1211" s="28"/>
      <c r="D1211" s="28"/>
    </row>
    <row r="1212" customHeight="1" spans="1:4">
      <c r="A1212" s="27"/>
      <c r="B1212" s="28"/>
      <c r="C1212" s="28"/>
      <c r="D1212" s="28"/>
    </row>
    <row r="1213" customHeight="1" spans="1:4">
      <c r="A1213" s="27"/>
      <c r="B1213" s="28"/>
      <c r="C1213" s="28"/>
      <c r="D1213" s="28"/>
    </row>
    <row r="1214" customHeight="1" spans="1:4">
      <c r="A1214" s="27"/>
      <c r="B1214" s="28"/>
      <c r="C1214" s="28"/>
      <c r="D1214" s="28"/>
    </row>
    <row r="1215" customHeight="1" spans="1:4">
      <c r="A1215" s="27"/>
      <c r="B1215" s="28"/>
      <c r="C1215" s="28"/>
      <c r="D1215" s="28"/>
    </row>
    <row r="1216" customHeight="1" spans="1:4">
      <c r="A1216" s="27"/>
      <c r="B1216" s="28"/>
      <c r="C1216" s="28"/>
      <c r="D1216" s="28"/>
    </row>
    <row r="1217" customHeight="1" spans="1:4">
      <c r="A1217" s="27"/>
      <c r="B1217" s="28"/>
      <c r="C1217" s="28"/>
      <c r="D1217" s="28"/>
    </row>
    <row r="1218" customHeight="1" spans="1:4">
      <c r="A1218" s="27"/>
      <c r="B1218" s="28"/>
      <c r="C1218" s="28"/>
      <c r="D1218" s="28"/>
    </row>
    <row r="1219" customHeight="1" spans="1:4">
      <c r="A1219" s="27"/>
      <c r="B1219" s="28"/>
      <c r="C1219" s="28"/>
      <c r="D1219" s="28"/>
    </row>
    <row r="1220" customHeight="1" spans="1:4">
      <c r="A1220" s="27"/>
      <c r="B1220" s="28"/>
      <c r="C1220" s="28"/>
      <c r="D1220" s="28"/>
    </row>
    <row r="1221" customHeight="1" spans="1:4">
      <c r="A1221" s="27"/>
      <c r="B1221" s="28"/>
      <c r="C1221" s="28"/>
      <c r="D1221" s="28"/>
    </row>
    <row r="1222" customHeight="1" spans="1:4">
      <c r="A1222" s="27"/>
      <c r="B1222" s="28"/>
      <c r="C1222" s="28"/>
      <c r="D1222" s="28"/>
    </row>
    <row r="1223" customHeight="1" spans="1:4">
      <c r="A1223" s="27"/>
      <c r="B1223" s="28"/>
      <c r="C1223" s="28"/>
      <c r="D1223" s="28"/>
    </row>
    <row r="1224" customHeight="1" spans="1:4">
      <c r="A1224" s="27"/>
      <c r="B1224" s="28"/>
      <c r="C1224" s="28"/>
      <c r="D1224" s="28"/>
    </row>
    <row r="1225" customHeight="1" spans="1:4">
      <c r="A1225" s="27"/>
      <c r="B1225" s="28"/>
      <c r="C1225" s="28"/>
      <c r="D1225" s="28"/>
    </row>
    <row r="1226" customHeight="1" spans="1:4">
      <c r="A1226" s="27"/>
      <c r="B1226" s="28"/>
      <c r="C1226" s="28"/>
      <c r="D1226" s="28"/>
    </row>
    <row r="1227" customHeight="1" spans="1:4">
      <c r="A1227" s="27"/>
      <c r="B1227" s="28"/>
      <c r="C1227" s="28"/>
      <c r="D1227" s="28"/>
    </row>
    <row r="1228" customHeight="1" spans="1:4">
      <c r="A1228" s="27"/>
      <c r="B1228" s="28"/>
      <c r="C1228" s="28"/>
      <c r="D1228" s="28"/>
    </row>
    <row r="1229" customHeight="1" spans="1:4">
      <c r="A1229" s="27"/>
      <c r="B1229" s="28"/>
      <c r="C1229" s="28"/>
      <c r="D1229" s="28"/>
    </row>
    <row r="1230" customHeight="1" spans="1:4">
      <c r="A1230" s="27"/>
      <c r="B1230" s="28"/>
      <c r="C1230" s="28"/>
      <c r="D1230" s="28"/>
    </row>
    <row r="1231" customHeight="1" spans="1:4">
      <c r="A1231" s="27"/>
      <c r="B1231" s="28"/>
      <c r="C1231" s="28"/>
      <c r="D1231" s="28"/>
    </row>
    <row r="1232" customHeight="1" spans="1:4">
      <c r="A1232" s="27"/>
      <c r="B1232" s="28"/>
      <c r="C1232" s="28"/>
      <c r="D1232" s="28"/>
    </row>
    <row r="1233" customHeight="1" spans="1:4">
      <c r="A1233" s="27"/>
      <c r="B1233" s="28"/>
      <c r="C1233" s="28"/>
      <c r="D1233" s="28"/>
    </row>
    <row r="1234" customHeight="1" spans="1:4">
      <c r="A1234" s="27"/>
      <c r="B1234" s="28"/>
      <c r="C1234" s="28"/>
      <c r="D1234" s="28"/>
    </row>
    <row r="1235" customHeight="1" spans="1:4">
      <c r="A1235" s="27"/>
      <c r="B1235" s="28"/>
      <c r="C1235" s="28"/>
      <c r="D1235" s="28"/>
    </row>
    <row r="1236" customHeight="1" spans="1:4">
      <c r="A1236" s="27"/>
      <c r="B1236" s="28"/>
      <c r="C1236" s="28"/>
      <c r="D1236" s="28"/>
    </row>
    <row r="1237" customHeight="1" spans="1:4">
      <c r="A1237" s="27"/>
      <c r="B1237" s="28"/>
      <c r="C1237" s="28"/>
      <c r="D1237" s="28"/>
    </row>
    <row r="1238" customHeight="1" spans="1:4">
      <c r="A1238" s="27"/>
      <c r="B1238" s="28"/>
      <c r="C1238" s="28"/>
      <c r="D1238" s="28"/>
    </row>
    <row r="1239" customHeight="1" spans="1:4">
      <c r="A1239" s="27"/>
      <c r="B1239" s="28"/>
      <c r="C1239" s="28"/>
      <c r="D1239" s="28"/>
    </row>
    <row r="1240" customHeight="1" spans="1:4">
      <c r="A1240" s="27"/>
      <c r="B1240" s="28"/>
      <c r="C1240" s="28"/>
      <c r="D1240" s="28"/>
    </row>
    <row r="1241" customHeight="1" spans="1:4">
      <c r="A1241" s="27"/>
      <c r="B1241" s="28"/>
      <c r="C1241" s="28"/>
      <c r="D1241" s="28"/>
    </row>
    <row r="1242" customHeight="1" spans="1:4">
      <c r="A1242" s="27"/>
      <c r="B1242" s="28"/>
      <c r="C1242" s="28"/>
      <c r="D1242" s="28"/>
    </row>
    <row r="1243" customHeight="1" spans="1:4">
      <c r="A1243" s="27"/>
      <c r="B1243" s="28"/>
      <c r="C1243" s="28"/>
      <c r="D1243" s="28"/>
    </row>
    <row r="1244" customHeight="1" spans="1:4">
      <c r="A1244" s="27"/>
      <c r="B1244" s="28"/>
      <c r="C1244" s="28"/>
      <c r="D1244" s="28"/>
    </row>
    <row r="1245" customHeight="1" spans="1:4">
      <c r="A1245" s="27"/>
      <c r="B1245" s="28"/>
      <c r="C1245" s="28"/>
      <c r="D1245" s="28"/>
    </row>
    <row r="1246" customHeight="1" spans="1:4">
      <c r="A1246" s="27"/>
      <c r="B1246" s="28"/>
      <c r="C1246" s="28"/>
      <c r="D1246" s="28"/>
    </row>
    <row r="1247" customHeight="1" spans="1:4">
      <c r="A1247" s="27"/>
      <c r="B1247" s="28"/>
      <c r="C1247" s="28"/>
      <c r="D1247" s="28"/>
    </row>
    <row r="1248" customHeight="1" spans="1:4">
      <c r="A1248" s="27"/>
      <c r="B1248" s="28"/>
      <c r="C1248" s="28"/>
      <c r="D1248" s="28"/>
    </row>
    <row r="1249" customHeight="1" spans="1:4">
      <c r="A1249" s="27"/>
      <c r="B1249" s="28"/>
      <c r="C1249" s="28"/>
      <c r="D1249" s="28"/>
    </row>
    <row r="1250" customHeight="1" spans="1:4">
      <c r="A1250" s="27"/>
      <c r="B1250" s="28"/>
      <c r="C1250" s="28"/>
      <c r="D1250" s="28"/>
    </row>
    <row r="1251" customHeight="1" spans="1:4">
      <c r="A1251" s="27"/>
      <c r="B1251" s="28"/>
      <c r="C1251" s="28"/>
      <c r="D1251" s="28"/>
    </row>
    <row r="1252" customHeight="1" spans="1:4">
      <c r="A1252" s="27"/>
      <c r="B1252" s="28"/>
      <c r="C1252" s="28"/>
      <c r="D1252" s="28"/>
    </row>
    <row r="1253" customHeight="1" spans="1:4">
      <c r="A1253" s="27"/>
      <c r="B1253" s="28"/>
      <c r="C1253" s="28"/>
      <c r="D1253" s="28"/>
    </row>
    <row r="1254" customHeight="1" spans="1:4">
      <c r="A1254" s="27"/>
      <c r="B1254" s="28"/>
      <c r="C1254" s="28"/>
      <c r="D1254" s="28"/>
    </row>
    <row r="1255" customHeight="1" spans="1:4">
      <c r="A1255" s="27"/>
      <c r="B1255" s="28"/>
      <c r="C1255" s="28"/>
      <c r="D1255" s="28"/>
    </row>
    <row r="1256" customHeight="1" spans="1:4">
      <c r="A1256" s="27"/>
      <c r="B1256" s="28"/>
      <c r="C1256" s="28"/>
      <c r="D1256" s="28"/>
    </row>
    <row r="1257" customHeight="1" spans="1:4">
      <c r="A1257" s="27"/>
      <c r="B1257" s="28"/>
      <c r="C1257" s="28"/>
      <c r="D1257" s="28"/>
    </row>
    <row r="1258" customHeight="1" spans="1:4">
      <c r="A1258" s="27"/>
      <c r="B1258" s="28"/>
      <c r="C1258" s="28"/>
      <c r="D1258" s="28"/>
    </row>
    <row r="1259" customHeight="1" spans="1:4">
      <c r="A1259" s="27"/>
      <c r="B1259" s="28"/>
      <c r="C1259" s="28"/>
      <c r="D1259" s="28"/>
    </row>
    <row r="1260" customHeight="1" spans="1:4">
      <c r="A1260" s="27"/>
      <c r="B1260" s="28"/>
      <c r="C1260" s="28"/>
      <c r="D1260" s="28"/>
    </row>
    <row r="1261" customHeight="1" spans="1:4">
      <c r="A1261" s="27"/>
      <c r="B1261" s="28"/>
      <c r="C1261" s="28"/>
      <c r="D1261" s="28"/>
    </row>
    <row r="1262" customHeight="1" spans="1:4">
      <c r="A1262" s="27"/>
      <c r="B1262" s="28"/>
      <c r="C1262" s="28"/>
      <c r="D1262" s="28"/>
    </row>
    <row r="1263" customHeight="1" spans="1:4">
      <c r="A1263" s="27"/>
      <c r="B1263" s="28"/>
      <c r="C1263" s="28"/>
      <c r="D1263" s="28"/>
    </row>
    <row r="1264" customHeight="1" spans="1:4">
      <c r="A1264" s="27"/>
      <c r="B1264" s="28"/>
      <c r="C1264" s="28"/>
      <c r="D1264" s="28"/>
    </row>
    <row r="1265" customHeight="1" spans="1:4">
      <c r="A1265" s="27"/>
      <c r="B1265" s="28"/>
      <c r="C1265" s="28"/>
      <c r="D1265" s="28"/>
    </row>
    <row r="1266" customHeight="1" spans="1:4">
      <c r="A1266" s="27"/>
      <c r="B1266" s="28"/>
      <c r="C1266" s="28"/>
      <c r="D1266" s="28"/>
    </row>
    <row r="1267" customHeight="1" spans="1:4">
      <c r="A1267" s="27"/>
      <c r="B1267" s="28"/>
      <c r="C1267" s="28"/>
      <c r="D1267" s="28"/>
    </row>
    <row r="1268" customHeight="1" spans="1:4">
      <c r="A1268" s="27"/>
      <c r="B1268" s="28"/>
      <c r="C1268" s="28"/>
      <c r="D1268" s="28"/>
    </row>
    <row r="1269" customHeight="1" spans="1:4">
      <c r="A1269" s="27"/>
      <c r="B1269" s="28"/>
      <c r="C1269" s="28"/>
      <c r="D1269" s="28"/>
    </row>
    <row r="1270" customHeight="1" spans="1:4">
      <c r="A1270" s="27"/>
      <c r="B1270" s="28"/>
      <c r="C1270" s="28"/>
      <c r="D1270" s="28"/>
    </row>
    <row r="1271" customHeight="1" spans="1:4">
      <c r="A1271" s="27"/>
      <c r="B1271" s="28"/>
      <c r="C1271" s="28"/>
      <c r="D1271" s="28"/>
    </row>
    <row r="1272" customHeight="1" spans="1:4">
      <c r="A1272" s="27"/>
      <c r="B1272" s="28"/>
      <c r="C1272" s="28"/>
      <c r="D1272" s="28"/>
    </row>
    <row r="1273" customHeight="1" spans="1:4">
      <c r="A1273" s="27"/>
      <c r="B1273" s="28"/>
      <c r="C1273" s="28"/>
      <c r="D1273" s="28"/>
    </row>
    <row r="1274" customHeight="1" spans="1:4">
      <c r="A1274" s="27"/>
      <c r="B1274" s="28"/>
      <c r="C1274" s="28"/>
      <c r="D1274" s="28"/>
    </row>
    <row r="1275" customHeight="1" spans="1:4">
      <c r="A1275" s="27"/>
      <c r="B1275" s="28"/>
      <c r="C1275" s="28"/>
      <c r="D1275" s="28"/>
    </row>
    <row r="1276" customHeight="1" spans="1:4">
      <c r="A1276" s="27"/>
      <c r="B1276" s="28"/>
      <c r="C1276" s="28"/>
      <c r="D1276" s="28"/>
    </row>
    <row r="1277" customHeight="1" spans="1:4">
      <c r="A1277" s="27"/>
      <c r="B1277" s="28"/>
      <c r="C1277" s="28"/>
      <c r="D1277" s="28"/>
    </row>
    <row r="1278" customHeight="1" spans="1:4">
      <c r="A1278" s="27"/>
      <c r="B1278" s="28"/>
      <c r="C1278" s="28"/>
      <c r="D1278" s="28"/>
    </row>
    <row r="1279" customHeight="1" spans="1:4">
      <c r="A1279" s="27"/>
      <c r="B1279" s="28"/>
      <c r="C1279" s="28"/>
      <c r="D1279" s="28"/>
    </row>
    <row r="1280" customHeight="1" spans="1:4">
      <c r="A1280" s="27"/>
      <c r="B1280" s="28"/>
      <c r="C1280" s="28"/>
      <c r="D1280" s="28"/>
    </row>
    <row r="1281" customHeight="1" spans="1:4">
      <c r="A1281" s="27"/>
      <c r="B1281" s="28"/>
      <c r="C1281" s="28"/>
      <c r="D1281" s="28"/>
    </row>
    <row r="1282" customHeight="1" spans="1:4">
      <c r="A1282" s="27"/>
      <c r="B1282" s="28"/>
      <c r="C1282" s="28"/>
      <c r="D1282" s="28"/>
    </row>
    <row r="1283" customHeight="1" spans="1:4">
      <c r="A1283" s="27"/>
      <c r="B1283" s="28"/>
      <c r="C1283" s="28"/>
      <c r="D1283" s="28"/>
    </row>
    <row r="1284" customHeight="1" spans="1:4">
      <c r="A1284" s="27"/>
      <c r="B1284" s="28"/>
      <c r="C1284" s="28"/>
      <c r="D1284" s="28"/>
    </row>
    <row r="1285" customHeight="1" spans="1:4">
      <c r="A1285" s="27"/>
      <c r="B1285" s="28"/>
      <c r="C1285" s="28"/>
      <c r="D1285" s="28"/>
    </row>
    <row r="1286" customHeight="1" spans="1:4">
      <c r="A1286" s="27"/>
      <c r="B1286" s="28"/>
      <c r="C1286" s="28"/>
      <c r="D1286" s="28"/>
    </row>
    <row r="1287" customHeight="1" spans="1:4">
      <c r="A1287" s="27"/>
      <c r="B1287" s="28"/>
      <c r="C1287" s="28"/>
      <c r="D1287" s="28"/>
    </row>
    <row r="1288" customHeight="1" spans="1:4">
      <c r="A1288" s="27"/>
      <c r="B1288" s="28"/>
      <c r="C1288" s="28"/>
      <c r="D1288" s="28"/>
    </row>
    <row r="1289" customHeight="1" spans="1:4">
      <c r="A1289" s="27"/>
      <c r="B1289" s="28"/>
      <c r="C1289" s="28"/>
      <c r="D1289" s="28"/>
    </row>
    <row r="1290" customHeight="1" spans="1:4">
      <c r="A1290" s="27"/>
      <c r="B1290" s="28"/>
      <c r="C1290" s="28"/>
      <c r="D1290" s="28"/>
    </row>
    <row r="1291" customHeight="1" spans="1:4">
      <c r="A1291" s="27"/>
      <c r="B1291" s="28"/>
      <c r="C1291" s="28"/>
      <c r="D1291" s="28"/>
    </row>
    <row r="1292" customHeight="1" spans="1:4">
      <c r="A1292" s="27"/>
      <c r="B1292" s="28"/>
      <c r="C1292" s="28"/>
      <c r="D1292" s="28"/>
    </row>
    <row r="1293" customHeight="1" spans="1:4">
      <c r="A1293" s="27"/>
      <c r="B1293" s="28"/>
      <c r="C1293" s="28"/>
      <c r="D1293" s="28"/>
    </row>
    <row r="1294" customHeight="1" spans="1:4">
      <c r="A1294" s="27"/>
      <c r="B1294" s="28"/>
      <c r="C1294" s="28"/>
      <c r="D1294" s="28"/>
    </row>
    <row r="1295" customHeight="1" spans="1:4">
      <c r="A1295" s="27"/>
      <c r="B1295" s="28"/>
      <c r="C1295" s="28"/>
      <c r="D1295" s="28"/>
    </row>
    <row r="1296" customHeight="1" spans="1:4">
      <c r="A1296" s="27"/>
      <c r="B1296" s="28"/>
      <c r="C1296" s="28"/>
      <c r="D1296" s="28"/>
    </row>
    <row r="1297" customHeight="1" spans="1:4">
      <c r="A1297" s="27"/>
      <c r="B1297" s="28"/>
      <c r="C1297" s="28"/>
      <c r="D1297" s="28"/>
    </row>
    <row r="1298" customHeight="1" spans="1:4">
      <c r="A1298" s="27"/>
      <c r="B1298" s="28"/>
      <c r="C1298" s="28"/>
      <c r="D1298" s="28"/>
    </row>
    <row r="1299" customHeight="1" spans="1:4">
      <c r="A1299" s="27"/>
      <c r="B1299" s="28"/>
      <c r="C1299" s="28"/>
      <c r="D1299" s="28"/>
    </row>
    <row r="1300" customHeight="1" spans="1:4">
      <c r="A1300" s="27"/>
      <c r="B1300" s="28"/>
      <c r="C1300" s="28"/>
      <c r="D1300" s="28"/>
    </row>
    <row r="1301" customHeight="1" spans="1:4">
      <c r="A1301" s="27"/>
      <c r="B1301" s="28"/>
      <c r="C1301" s="28"/>
      <c r="D1301" s="28"/>
    </row>
    <row r="1302" customHeight="1" spans="1:4">
      <c r="A1302" s="27"/>
      <c r="B1302" s="28"/>
      <c r="C1302" s="28"/>
      <c r="D1302" s="28"/>
    </row>
    <row r="1303" customHeight="1" spans="1:4">
      <c r="A1303" s="27"/>
      <c r="B1303" s="28"/>
      <c r="C1303" s="28"/>
      <c r="D1303" s="28"/>
    </row>
    <row r="1304" customHeight="1" spans="1:4">
      <c r="A1304" s="27"/>
      <c r="B1304" s="28"/>
      <c r="C1304" s="28"/>
      <c r="D1304" s="28"/>
    </row>
    <row r="1305" customHeight="1" spans="1:4">
      <c r="A1305" s="27"/>
      <c r="B1305" s="28"/>
      <c r="C1305" s="28"/>
      <c r="D1305" s="28"/>
    </row>
    <row r="1306" customHeight="1" spans="1:4">
      <c r="A1306" s="27"/>
      <c r="B1306" s="28"/>
      <c r="C1306" s="28"/>
      <c r="D1306" s="28"/>
    </row>
    <row r="1307" customHeight="1" spans="1:4">
      <c r="A1307" s="27"/>
      <c r="B1307" s="28"/>
      <c r="C1307" s="28"/>
      <c r="D1307" s="28"/>
    </row>
    <row r="1308" customHeight="1" spans="1:4">
      <c r="A1308" s="27"/>
      <c r="B1308" s="28"/>
      <c r="C1308" s="28"/>
      <c r="D1308" s="28"/>
    </row>
    <row r="1309" customHeight="1" spans="1:4">
      <c r="A1309" s="27"/>
      <c r="B1309" s="28"/>
      <c r="C1309" s="28"/>
      <c r="D1309" s="28"/>
    </row>
    <row r="1310" customHeight="1" spans="1:4">
      <c r="A1310" s="27"/>
      <c r="B1310" s="28"/>
      <c r="C1310" s="28"/>
      <c r="D1310" s="28"/>
    </row>
    <row r="1311" customHeight="1" spans="1:4">
      <c r="A1311" s="27"/>
      <c r="B1311" s="28"/>
      <c r="C1311" s="28"/>
      <c r="D1311" s="28"/>
    </row>
    <row r="1312" customHeight="1" spans="1:4">
      <c r="A1312" s="27"/>
      <c r="B1312" s="28"/>
      <c r="C1312" s="28"/>
      <c r="D1312" s="28"/>
    </row>
    <row r="1313" customHeight="1" spans="1:4">
      <c r="A1313" s="27"/>
      <c r="B1313" s="28"/>
      <c r="C1313" s="28"/>
      <c r="D1313" s="28"/>
    </row>
    <row r="1314" customHeight="1" spans="1:4">
      <c r="A1314" s="27"/>
      <c r="B1314" s="28"/>
      <c r="C1314" s="28"/>
      <c r="D1314" s="28"/>
    </row>
    <row r="1315" customHeight="1" spans="1:4">
      <c r="A1315" s="27"/>
      <c r="B1315" s="28"/>
      <c r="C1315" s="28"/>
      <c r="D1315" s="28"/>
    </row>
    <row r="1316" customHeight="1" spans="1:4">
      <c r="A1316" s="27"/>
      <c r="B1316" s="28"/>
      <c r="C1316" s="28"/>
      <c r="D1316" s="28"/>
    </row>
    <row r="1317" customHeight="1" spans="1:4">
      <c r="A1317" s="27"/>
      <c r="B1317" s="28"/>
      <c r="C1317" s="28"/>
      <c r="D1317" s="28"/>
    </row>
    <row r="1318" customHeight="1" spans="1:4">
      <c r="A1318" s="27"/>
      <c r="B1318" s="28"/>
      <c r="C1318" s="28"/>
      <c r="D1318" s="28"/>
    </row>
    <row r="1319" customHeight="1" spans="1:4">
      <c r="A1319" s="27"/>
      <c r="B1319" s="28"/>
      <c r="C1319" s="28"/>
      <c r="D1319" s="28"/>
    </row>
    <row r="1320" customHeight="1" spans="1:4">
      <c r="A1320" s="27"/>
      <c r="B1320" s="28"/>
      <c r="C1320" s="28"/>
      <c r="D1320" s="28"/>
    </row>
    <row r="1321" customHeight="1" spans="1:4">
      <c r="A1321" s="27"/>
      <c r="B1321" s="28"/>
      <c r="C1321" s="28"/>
      <c r="D1321" s="28"/>
    </row>
    <row r="1322" customHeight="1" spans="1:4">
      <c r="A1322" s="27"/>
      <c r="B1322" s="28"/>
      <c r="C1322" s="28"/>
      <c r="D1322" s="28"/>
    </row>
    <row r="1323" customHeight="1" spans="1:4">
      <c r="A1323" s="27"/>
      <c r="B1323" s="28"/>
      <c r="C1323" s="28"/>
      <c r="D1323" s="28"/>
    </row>
    <row r="1324" customHeight="1" spans="1:4">
      <c r="A1324" s="27"/>
      <c r="B1324" s="28"/>
      <c r="C1324" s="28"/>
      <c r="D1324" s="28"/>
    </row>
    <row r="1325" customHeight="1" spans="1:4">
      <c r="A1325" s="27"/>
      <c r="B1325" s="28"/>
      <c r="C1325" s="28"/>
      <c r="D1325" s="28"/>
    </row>
    <row r="1326" customHeight="1" spans="1:4">
      <c r="A1326" s="27"/>
      <c r="B1326" s="28"/>
      <c r="C1326" s="28"/>
      <c r="D1326" s="28"/>
    </row>
    <row r="1327" customHeight="1" spans="1:4">
      <c r="A1327" s="27"/>
      <c r="B1327" s="28"/>
      <c r="C1327" s="28"/>
      <c r="D1327" s="28"/>
    </row>
    <row r="1328" customHeight="1" spans="1:4">
      <c r="A1328" s="27"/>
      <c r="B1328" s="28"/>
      <c r="C1328" s="28"/>
      <c r="D1328" s="28"/>
    </row>
    <row r="1329" customHeight="1" spans="1:4">
      <c r="A1329" s="27"/>
      <c r="B1329" s="28"/>
      <c r="C1329" s="28"/>
      <c r="D1329" s="28"/>
    </row>
    <row r="1330" customHeight="1" spans="1:4">
      <c r="A1330" s="27"/>
      <c r="B1330" s="28"/>
      <c r="C1330" s="28"/>
      <c r="D1330" s="28"/>
    </row>
    <row r="1331" customHeight="1" spans="1:4">
      <c r="A1331" s="27"/>
      <c r="B1331" s="28"/>
      <c r="C1331" s="28"/>
      <c r="D1331" s="28"/>
    </row>
    <row r="1332" customHeight="1" spans="1:4">
      <c r="A1332" s="27"/>
      <c r="B1332" s="28"/>
      <c r="C1332" s="28"/>
      <c r="D1332" s="28"/>
    </row>
    <row r="1333" customHeight="1" spans="1:4">
      <c r="A1333" s="27"/>
      <c r="B1333" s="28"/>
      <c r="C1333" s="28"/>
      <c r="D1333" s="28"/>
    </row>
    <row r="1334" customHeight="1" spans="1:4">
      <c r="A1334" s="27"/>
      <c r="B1334" s="28"/>
      <c r="C1334" s="28"/>
      <c r="D1334" s="28"/>
    </row>
    <row r="1335" customHeight="1" spans="1:4">
      <c r="A1335" s="27"/>
      <c r="B1335" s="28"/>
      <c r="C1335" s="28"/>
      <c r="D1335" s="28"/>
    </row>
    <row r="1336" customHeight="1" spans="1:4">
      <c r="A1336" s="27"/>
      <c r="B1336" s="28"/>
      <c r="C1336" s="28"/>
      <c r="D1336" s="28"/>
    </row>
    <row r="1337" customHeight="1" spans="1:4">
      <c r="A1337" s="27"/>
      <c r="B1337" s="28"/>
      <c r="C1337" s="28"/>
      <c r="D1337" s="28"/>
    </row>
    <row r="1338" customHeight="1" spans="1:4">
      <c r="A1338" s="27"/>
      <c r="B1338" s="28"/>
      <c r="C1338" s="28"/>
      <c r="D1338" s="28"/>
    </row>
    <row r="1339" customHeight="1" spans="1:4">
      <c r="A1339" s="27"/>
      <c r="B1339" s="28"/>
      <c r="C1339" s="28"/>
      <c r="D1339" s="28"/>
    </row>
    <row r="1340" customHeight="1" spans="1:4">
      <c r="A1340" s="27"/>
      <c r="B1340" s="28"/>
      <c r="C1340" s="28"/>
      <c r="D1340" s="28"/>
    </row>
    <row r="1341" customHeight="1" spans="1:4">
      <c r="A1341" s="27"/>
      <c r="B1341" s="28"/>
      <c r="C1341" s="28"/>
      <c r="D1341" s="28"/>
    </row>
    <row r="1342" customHeight="1" spans="1:4">
      <c r="A1342" s="27"/>
      <c r="B1342" s="28"/>
      <c r="C1342" s="28"/>
      <c r="D1342" s="28"/>
    </row>
    <row r="1343" customHeight="1" spans="1:4">
      <c r="A1343" s="27"/>
      <c r="B1343" s="28"/>
      <c r="C1343" s="28"/>
      <c r="D1343" s="28"/>
    </row>
    <row r="1344" customHeight="1" spans="1:4">
      <c r="A1344" s="27"/>
      <c r="B1344" s="28"/>
      <c r="C1344" s="28"/>
      <c r="D1344" s="28"/>
    </row>
    <row r="1345" customHeight="1" spans="1:4">
      <c r="A1345" s="27"/>
      <c r="B1345" s="28"/>
      <c r="C1345" s="28"/>
      <c r="D1345" s="28"/>
    </row>
    <row r="1346" customHeight="1" spans="1:4">
      <c r="A1346" s="27"/>
      <c r="B1346" s="28"/>
      <c r="C1346" s="28"/>
      <c r="D1346" s="28"/>
    </row>
    <row r="1347" customHeight="1" spans="1:4">
      <c r="A1347" s="27"/>
      <c r="B1347" s="28"/>
      <c r="C1347" s="28"/>
      <c r="D1347" s="28"/>
    </row>
    <row r="1348" customHeight="1" spans="1:4">
      <c r="A1348" s="27"/>
      <c r="B1348" s="28"/>
      <c r="C1348" s="28"/>
      <c r="D1348" s="28"/>
    </row>
    <row r="1349" customHeight="1" spans="1:4">
      <c r="A1349" s="27"/>
      <c r="B1349" s="28"/>
      <c r="C1349" s="28"/>
      <c r="D1349" s="28"/>
    </row>
    <row r="1350" customHeight="1" spans="1:4">
      <c r="A1350" s="27"/>
      <c r="B1350" s="28"/>
      <c r="C1350" s="28"/>
      <c r="D1350" s="28"/>
    </row>
    <row r="1351" customHeight="1" spans="1:4">
      <c r="A1351" s="27"/>
      <c r="B1351" s="28"/>
      <c r="C1351" s="28"/>
      <c r="D1351" s="28"/>
    </row>
    <row r="1352" customHeight="1" spans="1:4">
      <c r="A1352" s="27"/>
      <c r="B1352" s="28"/>
      <c r="C1352" s="28"/>
      <c r="D1352" s="28"/>
    </row>
    <row r="1353" customHeight="1" spans="1:4">
      <c r="A1353" s="27"/>
      <c r="B1353" s="28"/>
      <c r="C1353" s="28"/>
      <c r="D1353" s="28"/>
    </row>
    <row r="1354" customHeight="1" spans="1:4">
      <c r="A1354" s="27"/>
      <c r="B1354" s="28"/>
      <c r="C1354" s="28"/>
      <c r="D1354" s="28"/>
    </row>
    <row r="1355" customHeight="1" spans="1:4">
      <c r="A1355" s="27"/>
      <c r="B1355" s="28"/>
      <c r="C1355" s="28"/>
      <c r="D1355" s="28"/>
    </row>
    <row r="1356" customHeight="1" spans="1:4">
      <c r="A1356" s="27"/>
      <c r="B1356" s="28"/>
      <c r="C1356" s="28"/>
      <c r="D1356" s="28"/>
    </row>
    <row r="1357" customHeight="1" spans="1:4">
      <c r="A1357" s="27"/>
      <c r="B1357" s="28"/>
      <c r="C1357" s="28"/>
      <c r="D1357" s="28"/>
    </row>
    <row r="1358" customHeight="1" spans="1:4">
      <c r="A1358" s="27"/>
      <c r="B1358" s="28"/>
      <c r="C1358" s="28"/>
      <c r="D1358" s="28"/>
    </row>
    <row r="1359" customHeight="1" spans="1:4">
      <c r="A1359" s="27"/>
      <c r="B1359" s="28"/>
      <c r="C1359" s="28"/>
      <c r="D1359" s="28"/>
    </row>
    <row r="1360" customHeight="1" spans="1:4">
      <c r="A1360" s="27"/>
      <c r="B1360" s="28"/>
      <c r="C1360" s="28"/>
      <c r="D1360" s="28"/>
    </row>
    <row r="1361" customHeight="1" spans="1:4">
      <c r="A1361" s="27"/>
      <c r="B1361" s="28"/>
      <c r="C1361" s="28"/>
      <c r="D1361" s="28"/>
    </row>
    <row r="1362" customHeight="1" spans="1:4">
      <c r="A1362" s="27"/>
      <c r="B1362" s="28"/>
      <c r="C1362" s="28"/>
      <c r="D1362" s="28"/>
    </row>
    <row r="1363" customHeight="1" spans="1:4">
      <c r="A1363" s="27"/>
      <c r="B1363" s="28"/>
      <c r="C1363" s="28"/>
      <c r="D1363" s="28"/>
    </row>
    <row r="1364" customHeight="1" spans="1:4">
      <c r="A1364" s="27"/>
      <c r="B1364" s="28"/>
      <c r="C1364" s="28"/>
      <c r="D1364" s="28"/>
    </row>
    <row r="1365" customHeight="1" spans="1:4">
      <c r="A1365" s="27"/>
      <c r="B1365" s="28"/>
      <c r="C1365" s="28"/>
      <c r="D1365" s="28"/>
    </row>
    <row r="1366" customHeight="1" spans="1:4">
      <c r="A1366" s="27"/>
      <c r="B1366" s="28"/>
      <c r="C1366" s="28"/>
      <c r="D1366" s="28"/>
    </row>
    <row r="1367" customHeight="1" spans="1:4">
      <c r="A1367" s="27"/>
      <c r="B1367" s="28"/>
      <c r="C1367" s="28"/>
      <c r="D1367" s="28"/>
    </row>
    <row r="1368" customHeight="1" spans="1:4">
      <c r="A1368" s="27"/>
      <c r="B1368" s="28"/>
      <c r="C1368" s="28"/>
      <c r="D1368" s="28"/>
    </row>
    <row r="1369" customHeight="1" spans="1:4">
      <c r="A1369" s="27"/>
      <c r="B1369" s="28"/>
      <c r="C1369" s="28"/>
      <c r="D1369" s="28"/>
    </row>
    <row r="1370" customHeight="1" spans="1:4">
      <c r="A1370" s="27"/>
      <c r="B1370" s="28"/>
      <c r="C1370" s="28"/>
      <c r="D1370" s="28"/>
    </row>
    <row r="1371" customHeight="1" spans="1:4">
      <c r="A1371" s="27"/>
      <c r="B1371" s="28"/>
      <c r="C1371" s="28"/>
      <c r="D1371" s="28"/>
    </row>
    <row r="1372" customHeight="1" spans="1:4">
      <c r="A1372" s="27"/>
      <c r="B1372" s="28"/>
      <c r="C1372" s="28"/>
      <c r="D1372" s="28"/>
    </row>
    <row r="1373" customHeight="1" spans="1:4">
      <c r="A1373" s="27"/>
      <c r="B1373" s="28"/>
      <c r="C1373" s="28"/>
      <c r="D1373" s="28"/>
    </row>
    <row r="1374" customHeight="1" spans="1:4">
      <c r="A1374" s="27"/>
      <c r="B1374" s="28"/>
      <c r="C1374" s="28"/>
      <c r="D1374" s="28"/>
    </row>
    <row r="1375" customHeight="1" spans="1:4">
      <c r="A1375" s="27"/>
      <c r="B1375" s="28"/>
      <c r="C1375" s="28"/>
      <c r="D1375" s="28"/>
    </row>
    <row r="1376" customHeight="1" spans="1:4">
      <c r="A1376" s="27"/>
      <c r="B1376" s="28"/>
      <c r="C1376" s="28"/>
      <c r="D1376" s="28"/>
    </row>
    <row r="1377" customHeight="1" spans="1:4">
      <c r="A1377" s="27"/>
      <c r="B1377" s="28"/>
      <c r="C1377" s="28"/>
      <c r="D1377" s="28"/>
    </row>
    <row r="1378" customHeight="1" spans="1:4">
      <c r="A1378" s="27"/>
      <c r="B1378" s="28"/>
      <c r="C1378" s="28"/>
      <c r="D1378" s="28"/>
    </row>
    <row r="1379" customHeight="1" spans="1:4">
      <c r="A1379" s="27"/>
      <c r="B1379" s="28"/>
      <c r="C1379" s="28"/>
      <c r="D1379" s="28"/>
    </row>
    <row r="1380" customHeight="1" spans="1:4">
      <c r="A1380" s="27"/>
      <c r="B1380" s="28"/>
      <c r="C1380" s="28"/>
      <c r="D1380" s="28"/>
    </row>
    <row r="1381" customHeight="1" spans="1:4">
      <c r="A1381" s="27"/>
      <c r="B1381" s="28"/>
      <c r="C1381" s="28"/>
      <c r="D1381" s="28"/>
    </row>
    <row r="1382" customHeight="1" spans="1:4">
      <c r="A1382" s="27"/>
      <c r="B1382" s="28"/>
      <c r="C1382" s="28"/>
      <c r="D1382" s="28"/>
    </row>
    <row r="1383" customHeight="1" spans="1:4">
      <c r="A1383" s="27"/>
      <c r="B1383" s="28"/>
      <c r="C1383" s="28"/>
      <c r="D1383" s="28"/>
    </row>
    <row r="1384" customHeight="1" spans="1:4">
      <c r="A1384" s="27"/>
      <c r="B1384" s="28"/>
      <c r="C1384" s="28"/>
      <c r="D1384" s="28"/>
    </row>
    <row r="1385" customHeight="1" spans="1:4">
      <c r="A1385" s="27"/>
      <c r="B1385" s="28"/>
      <c r="C1385" s="28"/>
      <c r="D1385" s="28"/>
    </row>
    <row r="1386" customHeight="1" spans="1:4">
      <c r="A1386" s="27"/>
      <c r="B1386" s="28"/>
      <c r="C1386" s="28"/>
      <c r="D1386" s="28"/>
    </row>
    <row r="1387" customHeight="1" spans="1:4">
      <c r="A1387" s="27"/>
      <c r="B1387" s="28"/>
      <c r="C1387" s="28"/>
      <c r="D1387" s="28"/>
    </row>
    <row r="1388" customHeight="1" spans="1:4">
      <c r="A1388" s="27"/>
      <c r="B1388" s="28"/>
      <c r="C1388" s="28"/>
      <c r="D1388" s="28"/>
    </row>
    <row r="1389" customHeight="1" spans="1:4">
      <c r="A1389" s="27"/>
      <c r="B1389" s="28"/>
      <c r="C1389" s="28"/>
      <c r="D1389" s="28"/>
    </row>
    <row r="1390" customHeight="1" spans="1:4">
      <c r="A1390" s="27"/>
      <c r="B1390" s="28"/>
      <c r="C1390" s="28"/>
      <c r="D1390" s="28"/>
    </row>
    <row r="1391" customHeight="1" spans="1:4">
      <c r="A1391" s="27"/>
      <c r="B1391" s="28"/>
      <c r="C1391" s="28"/>
      <c r="D1391" s="28"/>
    </row>
    <row r="1392" customHeight="1" spans="1:4">
      <c r="A1392" s="27"/>
      <c r="B1392" s="28"/>
      <c r="C1392" s="28"/>
      <c r="D1392" s="28"/>
    </row>
    <row r="1393" customHeight="1" spans="1:4">
      <c r="A1393" s="27"/>
      <c r="B1393" s="28"/>
      <c r="C1393" s="28"/>
      <c r="D1393" s="28"/>
    </row>
    <row r="1394" customHeight="1" spans="1:4">
      <c r="A1394" s="27"/>
      <c r="B1394" s="28"/>
      <c r="C1394" s="28"/>
      <c r="D1394" s="28"/>
    </row>
    <row r="1395" customHeight="1" spans="1:4">
      <c r="A1395" s="27"/>
      <c r="B1395" s="28"/>
      <c r="C1395" s="28"/>
      <c r="D1395" s="28"/>
    </row>
    <row r="1396" customHeight="1" spans="1:4">
      <c r="A1396" s="27"/>
      <c r="B1396" s="28"/>
      <c r="C1396" s="28"/>
      <c r="D1396" s="28"/>
    </row>
    <row r="1397" customHeight="1" spans="1:4">
      <c r="A1397" s="27"/>
      <c r="B1397" s="28"/>
      <c r="C1397" s="28"/>
      <c r="D1397" s="28"/>
    </row>
    <row r="1398" customHeight="1" spans="1:4">
      <c r="A1398" s="27"/>
      <c r="B1398" s="28"/>
      <c r="C1398" s="28"/>
      <c r="D1398" s="28"/>
    </row>
    <row r="1399" customHeight="1" spans="1:4">
      <c r="A1399" s="27"/>
      <c r="B1399" s="28"/>
      <c r="C1399" s="28"/>
      <c r="D1399" s="28"/>
    </row>
    <row r="1400" customHeight="1" spans="1:4">
      <c r="A1400" s="27"/>
      <c r="B1400" s="28"/>
      <c r="C1400" s="28"/>
      <c r="D1400" s="28"/>
    </row>
    <row r="1401" customHeight="1" spans="1:4">
      <c r="A1401" s="27"/>
      <c r="B1401" s="28"/>
      <c r="C1401" s="28"/>
      <c r="D1401" s="28"/>
    </row>
    <row r="1402" customHeight="1" spans="1:4">
      <c r="A1402" s="27"/>
      <c r="B1402" s="28"/>
      <c r="C1402" s="28"/>
      <c r="D1402" s="28"/>
    </row>
    <row r="1403" customHeight="1" spans="1:4">
      <c r="A1403" s="27"/>
      <c r="B1403" s="28"/>
      <c r="C1403" s="28"/>
      <c r="D1403" s="28"/>
    </row>
    <row r="1404" customHeight="1" spans="1:4">
      <c r="A1404" s="27"/>
      <c r="B1404" s="28"/>
      <c r="C1404" s="28"/>
      <c r="D1404" s="28"/>
    </row>
    <row r="1405" customHeight="1" spans="1:4">
      <c r="A1405" s="27"/>
      <c r="B1405" s="28"/>
      <c r="C1405" s="28"/>
      <c r="D1405" s="28"/>
    </row>
    <row r="1406" customHeight="1" spans="1:4">
      <c r="A1406" s="27"/>
      <c r="B1406" s="28"/>
      <c r="C1406" s="28"/>
      <c r="D1406" s="28"/>
    </row>
    <row r="1407" customHeight="1" spans="1:4">
      <c r="A1407" s="27"/>
      <c r="B1407" s="28"/>
      <c r="C1407" s="28"/>
      <c r="D1407" s="28"/>
    </row>
    <row r="1408" customHeight="1" spans="1:4">
      <c r="A1408" s="27"/>
      <c r="B1408" s="28"/>
      <c r="C1408" s="28"/>
      <c r="D1408" s="28"/>
    </row>
    <row r="1409" customHeight="1" spans="1:4">
      <c r="A1409" s="27"/>
      <c r="B1409" s="28"/>
      <c r="C1409" s="28"/>
      <c r="D1409" s="28"/>
    </row>
    <row r="1410" customHeight="1" spans="1:4">
      <c r="A1410" s="27"/>
      <c r="B1410" s="28"/>
      <c r="C1410" s="28"/>
      <c r="D1410" s="28"/>
    </row>
    <row r="1411" customHeight="1" spans="1:4">
      <c r="A1411" s="27"/>
      <c r="B1411" s="28"/>
      <c r="C1411" s="28"/>
      <c r="D1411" s="28"/>
    </row>
    <row r="1412" customHeight="1" spans="1:4">
      <c r="A1412" s="27"/>
      <c r="B1412" s="28"/>
      <c r="C1412" s="28"/>
      <c r="D1412" s="28"/>
    </row>
    <row r="1413" customHeight="1" spans="1:4">
      <c r="A1413" s="27"/>
      <c r="B1413" s="28"/>
      <c r="C1413" s="28"/>
      <c r="D1413" s="28"/>
    </row>
    <row r="1414" customHeight="1" spans="1:4">
      <c r="A1414" s="27"/>
      <c r="B1414" s="28"/>
      <c r="C1414" s="28"/>
      <c r="D1414" s="28"/>
    </row>
    <row r="1415" customHeight="1" spans="1:4">
      <c r="A1415" s="27"/>
      <c r="B1415" s="28"/>
      <c r="C1415" s="28"/>
      <c r="D1415" s="28"/>
    </row>
    <row r="1416" customHeight="1" spans="1:4">
      <c r="A1416" s="27"/>
      <c r="B1416" s="28"/>
      <c r="C1416" s="28"/>
      <c r="D1416" s="28"/>
    </row>
    <row r="1417" customHeight="1" spans="1:4">
      <c r="A1417" s="27"/>
      <c r="B1417" s="28"/>
      <c r="C1417" s="28"/>
      <c r="D1417" s="28"/>
    </row>
    <row r="1418" customHeight="1" spans="1:4">
      <c r="A1418" s="27"/>
      <c r="B1418" s="28"/>
      <c r="C1418" s="28"/>
      <c r="D1418" s="28"/>
    </row>
    <row r="1419" customHeight="1" spans="1:4">
      <c r="A1419" s="27"/>
      <c r="B1419" s="28"/>
      <c r="C1419" s="28"/>
      <c r="D1419" s="28"/>
    </row>
    <row r="1420" customHeight="1" spans="1:4">
      <c r="A1420" s="27"/>
      <c r="B1420" s="28"/>
      <c r="C1420" s="28"/>
      <c r="D1420" s="28"/>
    </row>
    <row r="1421" customHeight="1" spans="1:4">
      <c r="A1421" s="27"/>
      <c r="B1421" s="28"/>
      <c r="C1421" s="28"/>
      <c r="D1421" s="28"/>
    </row>
    <row r="1422" customHeight="1" spans="1:4">
      <c r="A1422" s="27"/>
      <c r="B1422" s="28"/>
      <c r="C1422" s="28"/>
      <c r="D1422" s="28"/>
    </row>
    <row r="1423" customHeight="1" spans="1:4">
      <c r="A1423" s="27"/>
      <c r="B1423" s="28"/>
      <c r="C1423" s="28"/>
      <c r="D1423" s="28"/>
    </row>
    <row r="1424" customHeight="1" spans="1:4">
      <c r="A1424" s="27"/>
      <c r="B1424" s="28"/>
      <c r="C1424" s="28"/>
      <c r="D1424" s="28"/>
    </row>
    <row r="1425" customHeight="1" spans="1:4">
      <c r="A1425" s="27"/>
      <c r="B1425" s="28"/>
      <c r="C1425" s="28"/>
      <c r="D1425" s="28"/>
    </row>
    <row r="1426" customHeight="1" spans="1:4">
      <c r="A1426" s="27"/>
      <c r="B1426" s="28"/>
      <c r="C1426" s="28"/>
      <c r="D1426" s="28"/>
    </row>
    <row r="1427" customHeight="1" spans="1:4">
      <c r="A1427" s="27"/>
      <c r="B1427" s="28"/>
      <c r="C1427" s="28"/>
      <c r="D1427" s="28"/>
    </row>
    <row r="1428" customHeight="1" spans="1:4">
      <c r="A1428" s="27"/>
      <c r="B1428" s="28"/>
      <c r="C1428" s="28"/>
      <c r="D1428" s="28"/>
    </row>
    <row r="1429" customHeight="1" spans="1:4">
      <c r="A1429" s="27"/>
      <c r="B1429" s="28"/>
      <c r="C1429" s="28"/>
      <c r="D1429" s="28"/>
    </row>
    <row r="1430" customHeight="1" spans="1:4">
      <c r="A1430" s="27"/>
      <c r="B1430" s="28"/>
      <c r="C1430" s="28"/>
      <c r="D1430" s="28"/>
    </row>
    <row r="1431" customHeight="1" spans="1:4">
      <c r="A1431" s="27"/>
      <c r="B1431" s="28"/>
      <c r="C1431" s="28"/>
      <c r="D1431" s="28"/>
    </row>
    <row r="1432" customHeight="1" spans="1:4">
      <c r="A1432" s="27"/>
      <c r="B1432" s="28"/>
      <c r="C1432" s="28"/>
      <c r="D1432" s="28"/>
    </row>
    <row r="1433" customHeight="1" spans="1:4">
      <c r="A1433" s="27"/>
      <c r="B1433" s="28"/>
      <c r="C1433" s="28"/>
      <c r="D1433" s="28"/>
    </row>
    <row r="1434" customHeight="1" spans="1:4">
      <c r="A1434" s="27"/>
      <c r="B1434" s="28"/>
      <c r="C1434" s="28"/>
      <c r="D1434" s="28"/>
    </row>
    <row r="1435" customHeight="1" spans="1:4">
      <c r="A1435" s="27"/>
      <c r="B1435" s="28"/>
      <c r="C1435" s="28"/>
      <c r="D1435" s="28"/>
    </row>
    <row r="1436" customHeight="1" spans="1:4">
      <c r="A1436" s="27"/>
      <c r="B1436" s="28"/>
      <c r="C1436" s="28"/>
      <c r="D1436" s="28"/>
    </row>
    <row r="1437" customHeight="1" spans="1:4">
      <c r="A1437" s="27"/>
      <c r="B1437" s="28"/>
      <c r="C1437" s="28"/>
      <c r="D1437" s="28"/>
    </row>
    <row r="1438" customHeight="1" spans="1:4">
      <c r="A1438" s="27"/>
      <c r="B1438" s="28"/>
      <c r="C1438" s="28"/>
      <c r="D1438" s="28"/>
    </row>
    <row r="1439" customHeight="1" spans="1:4">
      <c r="A1439" s="27"/>
      <c r="B1439" s="28"/>
      <c r="C1439" s="28"/>
      <c r="D1439" s="28"/>
    </row>
    <row r="1440" customHeight="1" spans="1:4">
      <c r="A1440" s="27"/>
      <c r="B1440" s="28"/>
      <c r="C1440" s="28"/>
      <c r="D1440" s="28"/>
    </row>
    <row r="1441" customHeight="1" spans="1:4">
      <c r="A1441" s="27"/>
      <c r="B1441" s="28"/>
      <c r="C1441" s="28"/>
      <c r="D1441" s="28"/>
    </row>
    <row r="1442" customHeight="1" spans="1:4">
      <c r="A1442" s="27"/>
      <c r="B1442" s="28"/>
      <c r="C1442" s="28"/>
      <c r="D1442" s="28"/>
    </row>
    <row r="1443" customHeight="1" spans="1:4">
      <c r="A1443" s="27"/>
      <c r="B1443" s="28"/>
      <c r="C1443" s="28"/>
      <c r="D1443" s="28"/>
    </row>
    <row r="1444" customHeight="1" spans="1:4">
      <c r="A1444" s="27"/>
      <c r="B1444" s="28"/>
      <c r="C1444" s="28"/>
      <c r="D1444" s="28"/>
    </row>
    <row r="1445" customHeight="1" spans="1:4">
      <c r="A1445" s="27"/>
      <c r="B1445" s="28"/>
      <c r="C1445" s="28"/>
      <c r="D1445" s="28"/>
    </row>
    <row r="1446" customHeight="1" spans="1:4">
      <c r="A1446" s="27"/>
      <c r="B1446" s="28"/>
      <c r="C1446" s="28"/>
      <c r="D1446" s="28"/>
    </row>
    <row r="1447" customHeight="1" spans="1:4">
      <c r="A1447" s="27"/>
      <c r="B1447" s="28"/>
      <c r="C1447" s="28"/>
      <c r="D1447" s="28"/>
    </row>
    <row r="1448" customHeight="1" spans="1:4">
      <c r="A1448" s="27"/>
      <c r="B1448" s="28"/>
      <c r="C1448" s="28"/>
      <c r="D1448" s="28"/>
    </row>
    <row r="1449" customHeight="1" spans="1:4">
      <c r="A1449" s="27"/>
      <c r="B1449" s="28"/>
      <c r="C1449" s="28"/>
      <c r="D1449" s="28"/>
    </row>
    <row r="1450" customHeight="1" spans="1:4">
      <c r="A1450" s="27"/>
      <c r="B1450" s="28"/>
      <c r="C1450" s="28"/>
      <c r="D1450" s="28"/>
    </row>
    <row r="1451" customHeight="1" spans="1:4">
      <c r="A1451" s="27"/>
      <c r="B1451" s="28"/>
      <c r="C1451" s="28"/>
      <c r="D1451" s="28"/>
    </row>
    <row r="1452" customHeight="1" spans="1:4">
      <c r="A1452" s="27"/>
      <c r="B1452" s="28"/>
      <c r="C1452" s="28"/>
      <c r="D1452" s="28"/>
    </row>
    <row r="1453" customHeight="1" spans="1:4">
      <c r="A1453" s="27"/>
      <c r="B1453" s="28"/>
      <c r="C1453" s="28"/>
      <c r="D1453" s="28"/>
    </row>
    <row r="1454" customHeight="1" spans="1:4">
      <c r="A1454" s="27"/>
      <c r="B1454" s="28"/>
      <c r="C1454" s="28"/>
      <c r="D1454" s="28"/>
    </row>
    <row r="1455" customHeight="1" spans="1:4">
      <c r="A1455" s="27"/>
      <c r="B1455" s="28"/>
      <c r="C1455" s="28"/>
      <c r="D1455" s="28"/>
    </row>
    <row r="1456" customHeight="1" spans="1:4">
      <c r="A1456" s="27"/>
      <c r="B1456" s="28"/>
      <c r="C1456" s="28"/>
      <c r="D1456" s="28"/>
    </row>
    <row r="1457" customHeight="1" spans="1:4">
      <c r="A1457" s="27"/>
      <c r="B1457" s="28"/>
      <c r="C1457" s="28"/>
      <c r="D1457" s="28"/>
    </row>
    <row r="1458" customHeight="1" spans="1:4">
      <c r="A1458" s="27"/>
      <c r="B1458" s="28"/>
      <c r="C1458" s="28"/>
      <c r="D1458" s="28"/>
    </row>
    <row r="1459" customHeight="1" spans="1:4">
      <c r="A1459" s="27"/>
      <c r="B1459" s="28"/>
      <c r="C1459" s="28"/>
      <c r="D1459" s="28"/>
    </row>
    <row r="1460" customHeight="1" spans="1:4">
      <c r="A1460" s="27"/>
      <c r="B1460" s="28"/>
      <c r="C1460" s="28"/>
      <c r="D1460" s="28"/>
    </row>
    <row r="1461" customHeight="1" spans="1:4">
      <c r="A1461" s="27"/>
      <c r="B1461" s="28"/>
      <c r="C1461" s="28"/>
      <c r="D1461" s="28"/>
    </row>
    <row r="1462" customHeight="1" spans="1:4">
      <c r="A1462" s="27"/>
      <c r="B1462" s="28"/>
      <c r="C1462" s="28"/>
      <c r="D1462" s="28"/>
    </row>
    <row r="1463" customHeight="1" spans="1:4">
      <c r="A1463" s="27"/>
      <c r="B1463" s="28"/>
      <c r="C1463" s="28"/>
      <c r="D1463" s="28"/>
    </row>
    <row r="1464" customHeight="1" spans="1:4">
      <c r="A1464" s="27"/>
      <c r="B1464" s="28"/>
      <c r="C1464" s="28"/>
      <c r="D1464" s="28"/>
    </row>
    <row r="1465" customHeight="1" spans="1:4">
      <c r="A1465" s="27"/>
      <c r="B1465" s="28"/>
      <c r="C1465" s="28"/>
      <c r="D1465" s="28"/>
    </row>
    <row r="1466" customHeight="1" spans="1:4">
      <c r="A1466" s="27"/>
      <c r="B1466" s="28"/>
      <c r="C1466" s="28"/>
      <c r="D1466" s="28"/>
    </row>
    <row r="1467" customHeight="1" spans="1:4">
      <c r="A1467" s="27"/>
      <c r="B1467" s="28"/>
      <c r="C1467" s="28"/>
      <c r="D1467" s="28"/>
    </row>
    <row r="1468" customHeight="1" spans="1:4">
      <c r="A1468" s="27"/>
      <c r="B1468" s="28"/>
      <c r="C1468" s="28"/>
      <c r="D1468" s="28"/>
    </row>
    <row r="1469" customHeight="1" spans="1:4">
      <c r="A1469" s="27"/>
      <c r="B1469" s="28"/>
      <c r="C1469" s="28"/>
      <c r="D1469" s="28"/>
    </row>
    <row r="1470" customHeight="1" spans="1:4">
      <c r="A1470" s="27"/>
      <c r="B1470" s="28"/>
      <c r="C1470" s="28"/>
      <c r="D1470" s="28"/>
    </row>
    <row r="1471" customHeight="1" spans="1:4">
      <c r="A1471" s="27"/>
      <c r="B1471" s="28"/>
      <c r="C1471" s="28"/>
      <c r="D1471" s="28"/>
    </row>
    <row r="1472" customHeight="1" spans="1:4">
      <c r="A1472" s="27"/>
      <c r="B1472" s="28"/>
      <c r="C1472" s="28"/>
      <c r="D1472" s="28"/>
    </row>
    <row r="1473" customHeight="1" spans="1:4">
      <c r="A1473" s="27"/>
      <c r="B1473" s="28"/>
      <c r="C1473" s="28"/>
      <c r="D1473" s="28"/>
    </row>
    <row r="1474" customHeight="1" spans="1:4">
      <c r="A1474" s="27"/>
      <c r="B1474" s="28"/>
      <c r="C1474" s="28"/>
      <c r="D1474" s="28"/>
    </row>
    <row r="1475" customHeight="1" spans="1:4">
      <c r="A1475" s="27"/>
      <c r="B1475" s="28"/>
      <c r="C1475" s="28"/>
      <c r="D1475" s="28"/>
    </row>
    <row r="1476" customHeight="1" spans="1:4">
      <c r="A1476" s="27"/>
      <c r="B1476" s="28"/>
      <c r="C1476" s="28"/>
      <c r="D1476" s="28"/>
    </row>
    <row r="1477" customHeight="1" spans="1:4">
      <c r="A1477" s="27"/>
      <c r="B1477" s="28"/>
      <c r="C1477" s="28"/>
      <c r="D1477" s="28"/>
    </row>
    <row r="1478" customHeight="1" spans="1:4">
      <c r="A1478" s="27"/>
      <c r="B1478" s="28"/>
      <c r="C1478" s="28"/>
      <c r="D1478" s="28"/>
    </row>
    <row r="1479" customHeight="1" spans="1:4">
      <c r="A1479" s="27"/>
      <c r="B1479" s="28"/>
      <c r="C1479" s="28"/>
      <c r="D1479" s="28"/>
    </row>
    <row r="1480" customHeight="1" spans="1:4">
      <c r="A1480" s="27"/>
      <c r="B1480" s="28"/>
      <c r="C1480" s="28"/>
      <c r="D1480" s="28"/>
    </row>
    <row r="1481" customHeight="1" spans="1:4">
      <c r="A1481" s="27"/>
      <c r="B1481" s="28"/>
      <c r="C1481" s="28"/>
      <c r="D1481" s="28"/>
    </row>
    <row r="1482" customHeight="1" spans="1:4">
      <c r="A1482" s="27"/>
      <c r="B1482" s="28"/>
      <c r="C1482" s="28"/>
      <c r="D1482" s="28"/>
    </row>
    <row r="1483" customHeight="1" spans="1:4">
      <c r="A1483" s="27"/>
      <c r="B1483" s="28"/>
      <c r="C1483" s="28"/>
      <c r="D1483" s="28"/>
    </row>
    <row r="1484" customHeight="1" spans="1:4">
      <c r="A1484" s="27"/>
      <c r="B1484" s="28"/>
      <c r="C1484" s="28"/>
      <c r="D1484" s="28"/>
    </row>
    <row r="1485" customHeight="1" spans="1:4">
      <c r="A1485" s="27"/>
      <c r="B1485" s="28"/>
      <c r="C1485" s="28"/>
      <c r="D1485" s="28"/>
    </row>
    <row r="1486" customHeight="1" spans="1:4">
      <c r="A1486" s="27"/>
      <c r="B1486" s="28"/>
      <c r="C1486" s="28"/>
      <c r="D1486" s="28"/>
    </row>
    <row r="1487" customHeight="1" spans="1:4">
      <c r="A1487" s="27"/>
      <c r="B1487" s="28"/>
      <c r="C1487" s="28"/>
      <c r="D1487" s="28"/>
    </row>
    <row r="1488" customHeight="1" spans="1:4">
      <c r="A1488" s="27"/>
      <c r="B1488" s="28"/>
      <c r="C1488" s="28"/>
      <c r="D1488" s="28"/>
    </row>
    <row r="1489" customHeight="1" spans="1:4">
      <c r="A1489" s="27"/>
      <c r="B1489" s="28"/>
      <c r="C1489" s="28"/>
      <c r="D1489" s="28"/>
    </row>
    <row r="1490" customHeight="1" spans="1:4">
      <c r="A1490" s="27"/>
      <c r="B1490" s="28"/>
      <c r="C1490" s="28"/>
      <c r="D1490" s="28"/>
    </row>
    <row r="1491" customHeight="1" spans="1:4">
      <c r="A1491" s="27"/>
      <c r="B1491" s="28"/>
      <c r="C1491" s="28"/>
      <c r="D1491" s="28"/>
    </row>
    <row r="1492" customHeight="1" spans="1:4">
      <c r="A1492" s="27"/>
      <c r="B1492" s="28"/>
      <c r="C1492" s="28"/>
      <c r="D1492" s="28"/>
    </row>
    <row r="1493" customHeight="1" spans="1:4">
      <c r="A1493" s="27"/>
      <c r="B1493" s="28"/>
      <c r="C1493" s="28"/>
      <c r="D1493" s="28"/>
    </row>
    <row r="1494" customHeight="1" spans="1:4">
      <c r="A1494" s="27"/>
      <c r="B1494" s="28"/>
      <c r="C1494" s="28"/>
      <c r="D1494" s="28"/>
    </row>
    <row r="1495" customHeight="1" spans="1:4">
      <c r="A1495" s="27"/>
      <c r="B1495" s="28"/>
      <c r="C1495" s="28"/>
      <c r="D1495" s="28"/>
    </row>
    <row r="1496" customHeight="1" spans="1:4">
      <c r="A1496" s="27"/>
      <c r="B1496" s="28"/>
      <c r="C1496" s="28"/>
      <c r="D1496" s="28"/>
    </row>
    <row r="1497" customHeight="1" spans="1:4">
      <c r="A1497" s="27"/>
      <c r="B1497" s="28"/>
      <c r="C1497" s="28"/>
      <c r="D1497" s="28"/>
    </row>
    <row r="1498" customHeight="1" spans="1:4">
      <c r="A1498" s="27"/>
      <c r="B1498" s="28"/>
      <c r="C1498" s="28"/>
      <c r="D1498" s="28"/>
    </row>
    <row r="1499" customHeight="1" spans="1:4">
      <c r="A1499" s="27"/>
      <c r="B1499" s="28"/>
      <c r="C1499" s="28"/>
      <c r="D1499" s="28"/>
    </row>
    <row r="1500" customHeight="1" spans="1:4">
      <c r="A1500" s="27"/>
      <c r="B1500" s="28"/>
      <c r="C1500" s="28"/>
      <c r="D1500" s="28"/>
    </row>
    <row r="1501" customHeight="1" spans="1:4">
      <c r="A1501" s="27"/>
      <c r="B1501" s="28"/>
      <c r="C1501" s="28"/>
      <c r="D1501" s="28"/>
    </row>
    <row r="1502" customHeight="1" spans="1:4">
      <c r="A1502" s="27"/>
      <c r="B1502" s="28"/>
      <c r="C1502" s="28"/>
      <c r="D1502" s="28"/>
    </row>
    <row r="1503" customHeight="1" spans="1:4">
      <c r="A1503" s="27"/>
      <c r="B1503" s="28"/>
      <c r="C1503" s="28"/>
      <c r="D1503" s="28"/>
    </row>
    <row r="1504" customHeight="1" spans="1:4">
      <c r="A1504" s="27"/>
      <c r="B1504" s="28"/>
      <c r="C1504" s="28"/>
      <c r="D1504" s="28"/>
    </row>
    <row r="1505" customHeight="1" spans="1:4">
      <c r="A1505" s="27"/>
      <c r="B1505" s="28"/>
      <c r="C1505" s="28"/>
      <c r="D1505" s="28"/>
    </row>
    <row r="1506" customHeight="1" spans="1:4">
      <c r="A1506" s="27"/>
      <c r="B1506" s="28"/>
      <c r="C1506" s="28"/>
      <c r="D1506" s="28"/>
    </row>
    <row r="1507" customHeight="1" spans="1:4">
      <c r="A1507" s="27"/>
      <c r="B1507" s="28"/>
      <c r="C1507" s="28"/>
      <c r="D1507" s="28"/>
    </row>
    <row r="1508" customHeight="1" spans="1:4">
      <c r="A1508" s="27"/>
      <c r="B1508" s="28"/>
      <c r="C1508" s="28"/>
      <c r="D1508" s="28"/>
    </row>
    <row r="1509" customHeight="1" spans="1:4">
      <c r="A1509" s="27"/>
      <c r="B1509" s="28"/>
      <c r="C1509" s="28"/>
      <c r="D1509" s="28"/>
    </row>
    <row r="1510" customHeight="1" spans="1:4">
      <c r="A1510" s="27"/>
      <c r="B1510" s="28"/>
      <c r="C1510" s="28"/>
      <c r="D1510" s="28"/>
    </row>
    <row r="1511" customHeight="1" spans="1:4">
      <c r="A1511" s="27"/>
      <c r="B1511" s="28"/>
      <c r="C1511" s="28"/>
      <c r="D1511" s="28"/>
    </row>
    <row r="1512" customHeight="1" spans="1:4">
      <c r="A1512" s="27"/>
      <c r="B1512" s="28"/>
      <c r="C1512" s="28"/>
      <c r="D1512" s="28"/>
    </row>
    <row r="1513" customHeight="1" spans="1:4">
      <c r="A1513" s="27"/>
      <c r="B1513" s="28"/>
      <c r="C1513" s="28"/>
      <c r="D1513" s="28"/>
    </row>
    <row r="1514" customHeight="1" spans="1:4">
      <c r="A1514" s="27"/>
      <c r="B1514" s="28"/>
      <c r="C1514" s="28"/>
      <c r="D1514" s="28"/>
    </row>
    <row r="1515" customHeight="1" spans="1:4">
      <c r="A1515" s="27"/>
      <c r="B1515" s="28"/>
      <c r="C1515" s="28"/>
      <c r="D1515" s="28"/>
    </row>
    <row r="1516" customHeight="1" spans="1:4">
      <c r="A1516" s="27"/>
      <c r="B1516" s="28"/>
      <c r="C1516" s="28"/>
      <c r="D1516" s="28"/>
    </row>
    <row r="1517" customHeight="1" spans="1:4">
      <c r="A1517" s="27"/>
      <c r="B1517" s="28"/>
      <c r="C1517" s="28"/>
      <c r="D1517" s="28"/>
    </row>
    <row r="1518" customHeight="1" spans="1:4">
      <c r="A1518" s="27"/>
      <c r="B1518" s="28"/>
      <c r="C1518" s="28"/>
      <c r="D1518" s="28"/>
    </row>
    <row r="1519" customHeight="1" spans="1:4">
      <c r="A1519" s="27"/>
      <c r="B1519" s="28"/>
      <c r="C1519" s="28"/>
      <c r="D1519" s="28"/>
    </row>
    <row r="1520" customHeight="1" spans="1:4">
      <c r="A1520" s="27"/>
      <c r="B1520" s="28"/>
      <c r="C1520" s="28"/>
      <c r="D1520" s="28"/>
    </row>
    <row r="1521" customHeight="1" spans="1:4">
      <c r="A1521" s="27"/>
      <c r="B1521" s="28"/>
      <c r="C1521" s="28"/>
      <c r="D1521" s="28"/>
    </row>
    <row r="1522" customHeight="1" spans="1:4">
      <c r="A1522" s="27"/>
      <c r="B1522" s="28"/>
      <c r="C1522" s="28"/>
      <c r="D1522" s="28"/>
    </row>
    <row r="1523" customHeight="1" spans="1:4">
      <c r="A1523" s="27"/>
      <c r="B1523" s="28"/>
      <c r="C1523" s="28"/>
      <c r="D1523" s="28"/>
    </row>
    <row r="1524" customHeight="1" spans="1:4">
      <c r="A1524" s="27"/>
      <c r="B1524" s="28"/>
      <c r="C1524" s="28"/>
      <c r="D1524" s="28"/>
    </row>
    <row r="1525" customHeight="1" spans="1:4">
      <c r="A1525" s="27"/>
      <c r="B1525" s="28"/>
      <c r="C1525" s="28"/>
      <c r="D1525" s="28"/>
    </row>
    <row r="1526" customHeight="1" spans="1:4">
      <c r="A1526" s="27"/>
      <c r="B1526" s="28"/>
      <c r="C1526" s="28"/>
      <c r="D1526" s="28"/>
    </row>
    <row r="1527" customHeight="1" spans="1:4">
      <c r="A1527" s="27"/>
      <c r="B1527" s="28"/>
      <c r="C1527" s="28"/>
      <c r="D1527" s="28"/>
    </row>
    <row r="1528" customHeight="1" spans="1:4">
      <c r="A1528" s="27"/>
      <c r="B1528" s="28"/>
      <c r="C1528" s="28"/>
      <c r="D1528" s="28"/>
    </row>
    <row r="1529" customHeight="1" spans="1:4">
      <c r="A1529" s="27"/>
      <c r="B1529" s="28"/>
      <c r="C1529" s="28"/>
      <c r="D1529" s="28"/>
    </row>
    <row r="1530" customHeight="1" spans="1:4">
      <c r="A1530" s="27"/>
      <c r="B1530" s="28"/>
      <c r="C1530" s="28"/>
      <c r="D1530" s="28"/>
    </row>
    <row r="1531" customHeight="1" spans="1:4">
      <c r="A1531" s="27"/>
      <c r="B1531" s="28"/>
      <c r="C1531" s="28"/>
      <c r="D1531" s="28"/>
    </row>
    <row r="1532" customHeight="1" spans="1:4">
      <c r="A1532" s="27"/>
      <c r="B1532" s="28"/>
      <c r="C1532" s="28"/>
      <c r="D1532" s="28"/>
    </row>
    <row r="1533" customHeight="1" spans="1:4">
      <c r="A1533" s="27"/>
      <c r="B1533" s="28"/>
      <c r="C1533" s="28"/>
      <c r="D1533" s="28"/>
    </row>
    <row r="1534" customHeight="1" spans="1:4">
      <c r="A1534" s="27"/>
      <c r="B1534" s="28"/>
      <c r="C1534" s="28"/>
      <c r="D1534" s="28"/>
    </row>
    <row r="1535" customHeight="1" spans="1:4">
      <c r="A1535" s="27"/>
      <c r="B1535" s="28"/>
      <c r="C1535" s="28"/>
      <c r="D1535" s="28"/>
    </row>
    <row r="1536" customHeight="1" spans="1:4">
      <c r="A1536" s="27"/>
      <c r="B1536" s="28"/>
      <c r="C1536" s="28"/>
      <c r="D1536" s="28"/>
    </row>
    <row r="1537" customHeight="1" spans="1:4">
      <c r="A1537" s="27"/>
      <c r="B1537" s="28"/>
      <c r="C1537" s="28"/>
      <c r="D1537" s="28"/>
    </row>
    <row r="1538" customHeight="1" spans="1:4">
      <c r="A1538" s="27"/>
      <c r="B1538" s="28"/>
      <c r="C1538" s="28"/>
      <c r="D1538" s="28"/>
    </row>
    <row r="1539" customHeight="1" spans="1:4">
      <c r="A1539" s="27"/>
      <c r="B1539" s="28"/>
      <c r="C1539" s="28"/>
      <c r="D1539" s="28"/>
    </row>
    <row r="1540" customHeight="1" spans="1:4">
      <c r="A1540" s="27"/>
      <c r="B1540" s="28"/>
      <c r="C1540" s="28"/>
      <c r="D1540" s="28"/>
    </row>
    <row r="1541" customHeight="1" spans="1:4">
      <c r="A1541" s="27"/>
      <c r="B1541" s="28"/>
      <c r="C1541" s="28"/>
      <c r="D1541" s="28"/>
    </row>
    <row r="1542" customHeight="1" spans="1:4">
      <c r="A1542" s="27"/>
      <c r="B1542" s="28"/>
      <c r="C1542" s="28"/>
      <c r="D1542" s="28"/>
    </row>
    <row r="1543" customHeight="1" spans="1:4">
      <c r="A1543" s="27"/>
      <c r="B1543" s="28"/>
      <c r="C1543" s="28"/>
      <c r="D1543" s="28"/>
    </row>
    <row r="1544" customHeight="1" spans="1:4">
      <c r="A1544" s="27"/>
      <c r="B1544" s="28"/>
      <c r="C1544" s="28"/>
      <c r="D1544" s="28"/>
    </row>
    <row r="1545" customHeight="1" spans="1:4">
      <c r="A1545" s="27"/>
      <c r="B1545" s="28"/>
      <c r="C1545" s="28"/>
      <c r="D1545" s="28"/>
    </row>
    <row r="1546" customHeight="1" spans="1:4">
      <c r="A1546" s="27"/>
      <c r="B1546" s="28"/>
      <c r="C1546" s="28"/>
      <c r="D1546" s="28"/>
    </row>
    <row r="1547" customHeight="1" spans="1:4">
      <c r="A1547" s="27"/>
      <c r="B1547" s="28"/>
      <c r="C1547" s="28"/>
      <c r="D1547" s="28"/>
    </row>
    <row r="1548" customHeight="1" spans="1:4">
      <c r="A1548" s="27"/>
      <c r="B1548" s="28"/>
      <c r="C1548" s="28"/>
      <c r="D1548" s="28"/>
    </row>
    <row r="1549" customHeight="1" spans="1:4">
      <c r="A1549" s="27"/>
      <c r="B1549" s="28"/>
      <c r="C1549" s="28"/>
      <c r="D1549" s="28"/>
    </row>
    <row r="1550" customHeight="1" spans="1:4">
      <c r="A1550" s="27"/>
      <c r="B1550" s="28"/>
      <c r="C1550" s="28"/>
      <c r="D1550" s="28"/>
    </row>
    <row r="1551" customHeight="1" spans="1:4">
      <c r="A1551" s="27"/>
      <c r="B1551" s="28"/>
      <c r="C1551" s="28"/>
      <c r="D1551" s="28"/>
    </row>
    <row r="1552" customHeight="1" spans="1:4">
      <c r="A1552" s="27"/>
      <c r="B1552" s="28"/>
      <c r="C1552" s="28"/>
      <c r="D1552" s="28"/>
    </row>
    <row r="1553" customHeight="1" spans="1:4">
      <c r="A1553" s="27"/>
      <c r="B1553" s="28"/>
      <c r="C1553" s="28"/>
      <c r="D1553" s="28"/>
    </row>
    <row r="1554" customHeight="1" spans="1:4">
      <c r="A1554" s="27"/>
      <c r="B1554" s="28"/>
      <c r="C1554" s="28"/>
      <c r="D1554" s="28"/>
    </row>
    <row r="1555" customHeight="1" spans="1:4">
      <c r="A1555" s="27"/>
      <c r="B1555" s="28"/>
      <c r="C1555" s="28"/>
      <c r="D1555" s="28"/>
    </row>
    <row r="1556" customHeight="1" spans="1:4">
      <c r="A1556" s="27"/>
      <c r="B1556" s="28"/>
      <c r="C1556" s="28"/>
      <c r="D1556" s="28"/>
    </row>
    <row r="1557" customHeight="1" spans="1:4">
      <c r="A1557" s="27"/>
      <c r="B1557" s="28"/>
      <c r="C1557" s="28"/>
      <c r="D1557" s="28"/>
    </row>
    <row r="1558" customHeight="1" spans="1:4">
      <c r="A1558" s="27"/>
      <c r="B1558" s="28"/>
      <c r="C1558" s="28"/>
      <c r="D1558" s="28"/>
    </row>
    <row r="1559" customHeight="1" spans="1:4">
      <c r="A1559" s="27"/>
      <c r="B1559" s="28"/>
      <c r="C1559" s="28"/>
      <c r="D1559" s="28"/>
    </row>
    <row r="1560" customHeight="1" spans="1:4">
      <c r="A1560" s="27"/>
      <c r="B1560" s="28"/>
      <c r="C1560" s="28"/>
      <c r="D1560" s="28"/>
    </row>
    <row r="1561" customHeight="1" spans="1:4">
      <c r="A1561" s="27"/>
      <c r="B1561" s="28"/>
      <c r="C1561" s="28"/>
      <c r="D1561" s="28"/>
    </row>
    <row r="1562" customHeight="1" spans="1:4">
      <c r="A1562" s="27"/>
      <c r="B1562" s="28"/>
      <c r="C1562" s="28"/>
      <c r="D1562" s="28"/>
    </row>
    <row r="1563" customHeight="1" spans="1:4">
      <c r="A1563" s="27"/>
      <c r="B1563" s="28"/>
      <c r="C1563" s="28"/>
      <c r="D1563" s="28"/>
    </row>
    <row r="1564" customHeight="1" spans="1:4">
      <c r="A1564" s="27"/>
      <c r="B1564" s="28"/>
      <c r="C1564" s="28"/>
      <c r="D1564" s="28"/>
    </row>
    <row r="1565" customHeight="1" spans="1:4">
      <c r="A1565" s="27"/>
      <c r="B1565" s="28"/>
      <c r="C1565" s="28"/>
      <c r="D1565" s="28"/>
    </row>
    <row r="1566" customHeight="1" spans="1:4">
      <c r="A1566" s="27"/>
      <c r="B1566" s="28"/>
      <c r="C1566" s="28"/>
      <c r="D1566" s="28"/>
    </row>
    <row r="1567" customHeight="1" spans="1:4">
      <c r="A1567" s="27"/>
      <c r="B1567" s="28"/>
      <c r="C1567" s="28"/>
      <c r="D1567" s="28"/>
    </row>
    <row r="1568" customHeight="1" spans="1:4">
      <c r="A1568" s="27"/>
      <c r="B1568" s="28"/>
      <c r="C1568" s="28"/>
      <c r="D1568" s="28"/>
    </row>
    <row r="1569" customHeight="1" spans="1:4">
      <c r="A1569" s="27"/>
      <c r="B1569" s="28"/>
      <c r="C1569" s="28"/>
      <c r="D1569" s="28"/>
    </row>
    <row r="1570" customHeight="1" spans="1:4">
      <c r="A1570" s="27"/>
      <c r="B1570" s="28"/>
      <c r="C1570" s="28"/>
      <c r="D1570" s="28"/>
    </row>
    <row r="1571" customHeight="1" spans="1:4">
      <c r="A1571" s="27"/>
      <c r="B1571" s="28"/>
      <c r="C1571" s="28"/>
      <c r="D1571" s="28"/>
    </row>
    <row r="1572" customHeight="1" spans="1:4">
      <c r="A1572" s="27"/>
      <c r="B1572" s="28"/>
      <c r="C1572" s="28"/>
      <c r="D1572" s="28"/>
    </row>
    <row r="1573" customHeight="1" spans="1:4">
      <c r="A1573" s="27"/>
      <c r="B1573" s="28"/>
      <c r="C1573" s="28"/>
      <c r="D1573" s="28"/>
    </row>
    <row r="1574" customHeight="1" spans="1:4">
      <c r="A1574" s="27"/>
      <c r="B1574" s="28"/>
      <c r="C1574" s="28"/>
      <c r="D1574" s="28"/>
    </row>
    <row r="1575" customHeight="1" spans="1:4">
      <c r="A1575" s="27"/>
      <c r="B1575" s="28"/>
      <c r="C1575" s="28"/>
      <c r="D1575" s="28"/>
    </row>
    <row r="1576" customHeight="1" spans="1:4">
      <c r="A1576" s="27"/>
      <c r="B1576" s="28"/>
      <c r="C1576" s="28"/>
      <c r="D1576" s="28"/>
    </row>
    <row r="1577" customHeight="1" spans="1:4">
      <c r="A1577" s="27"/>
      <c r="B1577" s="28"/>
      <c r="C1577" s="28"/>
      <c r="D1577" s="28"/>
    </row>
    <row r="1578" customHeight="1" spans="1:4">
      <c r="A1578" s="27"/>
      <c r="B1578" s="28"/>
      <c r="C1578" s="28"/>
      <c r="D1578" s="28"/>
    </row>
    <row r="1579" customHeight="1" spans="1:4">
      <c r="A1579" s="27"/>
      <c r="B1579" s="28"/>
      <c r="C1579" s="28"/>
      <c r="D1579" s="28"/>
    </row>
    <row r="1580" customHeight="1" spans="1:4">
      <c r="A1580" s="27"/>
      <c r="B1580" s="28"/>
      <c r="C1580" s="28"/>
      <c r="D1580" s="28"/>
    </row>
    <row r="1581" customHeight="1" spans="1:4">
      <c r="A1581" s="27"/>
      <c r="B1581" s="28"/>
      <c r="C1581" s="28"/>
      <c r="D1581" s="28"/>
    </row>
    <row r="1582" customHeight="1" spans="1:4">
      <c r="A1582" s="27"/>
      <c r="B1582" s="28"/>
      <c r="C1582" s="28"/>
      <c r="D1582" s="28"/>
    </row>
    <row r="1583" customHeight="1" spans="1:4">
      <c r="A1583" s="27"/>
      <c r="B1583" s="28"/>
      <c r="C1583" s="28"/>
      <c r="D1583" s="28"/>
    </row>
    <row r="1584" customHeight="1" spans="1:4">
      <c r="A1584" s="27"/>
      <c r="B1584" s="28"/>
      <c r="C1584" s="28"/>
      <c r="D1584" s="28"/>
    </row>
    <row r="1585" customHeight="1" spans="1:4">
      <c r="A1585" s="27"/>
      <c r="B1585" s="28"/>
      <c r="C1585" s="28"/>
      <c r="D1585" s="28"/>
    </row>
    <row r="1586" customHeight="1" spans="1:4">
      <c r="A1586" s="27"/>
      <c r="B1586" s="28"/>
      <c r="C1586" s="28"/>
      <c r="D1586" s="28"/>
    </row>
    <row r="1587" customHeight="1" spans="1:4">
      <c r="A1587" s="27"/>
      <c r="B1587" s="28"/>
      <c r="C1587" s="28"/>
      <c r="D1587" s="28"/>
    </row>
    <row r="1588" customHeight="1" spans="1:4">
      <c r="A1588" s="27"/>
      <c r="B1588" s="28"/>
      <c r="C1588" s="28"/>
      <c r="D1588" s="28"/>
    </row>
    <row r="1589" customHeight="1" spans="1:4">
      <c r="A1589" s="27"/>
      <c r="B1589" s="28"/>
      <c r="C1589" s="28"/>
      <c r="D1589" s="28"/>
    </row>
    <row r="1590" customHeight="1" spans="1:4">
      <c r="A1590" s="27"/>
      <c r="B1590" s="28"/>
      <c r="C1590" s="28"/>
      <c r="D1590" s="28"/>
    </row>
    <row r="1591" customHeight="1" spans="1:4">
      <c r="A1591" s="27"/>
      <c r="B1591" s="28"/>
      <c r="C1591" s="28"/>
      <c r="D1591" s="28"/>
    </row>
    <row r="1592" customHeight="1" spans="1:4">
      <c r="A1592" s="27"/>
      <c r="B1592" s="28"/>
      <c r="C1592" s="28"/>
      <c r="D1592" s="28"/>
    </row>
    <row r="1593" customHeight="1" spans="1:4">
      <c r="A1593" s="27"/>
      <c r="B1593" s="28"/>
      <c r="C1593" s="28"/>
      <c r="D1593" s="28"/>
    </row>
    <row r="1594" customHeight="1" spans="1:4">
      <c r="A1594" s="27"/>
      <c r="B1594" s="28"/>
      <c r="C1594" s="28"/>
      <c r="D1594" s="28"/>
    </row>
    <row r="1595" customHeight="1" spans="1:4">
      <c r="A1595" s="27"/>
      <c r="B1595" s="28"/>
      <c r="C1595" s="28"/>
      <c r="D1595" s="28"/>
    </row>
    <row r="1596" customHeight="1" spans="1:4">
      <c r="A1596" s="27"/>
      <c r="B1596" s="28"/>
      <c r="C1596" s="28"/>
      <c r="D1596" s="28"/>
    </row>
    <row r="1597" customHeight="1" spans="1:4">
      <c r="A1597" s="27"/>
      <c r="B1597" s="28"/>
      <c r="C1597" s="28"/>
      <c r="D1597" s="28"/>
    </row>
    <row r="1598" customHeight="1" spans="1:4">
      <c r="A1598" s="27"/>
      <c r="B1598" s="28"/>
      <c r="C1598" s="28"/>
      <c r="D1598" s="28"/>
    </row>
    <row r="1599" customHeight="1" spans="1:4">
      <c r="A1599" s="27"/>
      <c r="B1599" s="28"/>
      <c r="C1599" s="28"/>
      <c r="D1599" s="28"/>
    </row>
    <row r="1600" customHeight="1" spans="1:4">
      <c r="A1600" s="27"/>
      <c r="B1600" s="28"/>
      <c r="C1600" s="28"/>
      <c r="D1600" s="28"/>
    </row>
    <row r="1601" customHeight="1" spans="1:4">
      <c r="A1601" s="27"/>
      <c r="B1601" s="28"/>
      <c r="C1601" s="28"/>
      <c r="D1601" s="28"/>
    </row>
    <row r="1602" customHeight="1" spans="1:4">
      <c r="A1602" s="27"/>
      <c r="B1602" s="28"/>
      <c r="C1602" s="28"/>
      <c r="D1602" s="28"/>
    </row>
    <row r="1603" customHeight="1" spans="1:4">
      <c r="A1603" s="27"/>
      <c r="B1603" s="28"/>
      <c r="C1603" s="28"/>
      <c r="D1603" s="28"/>
    </row>
    <row r="1604" customHeight="1" spans="1:4">
      <c r="A1604" s="27"/>
      <c r="B1604" s="28"/>
      <c r="C1604" s="28"/>
      <c r="D1604" s="28"/>
    </row>
    <row r="1605" customHeight="1" spans="1:4">
      <c r="A1605" s="27"/>
      <c r="B1605" s="28"/>
      <c r="C1605" s="28"/>
      <c r="D1605" s="28"/>
    </row>
    <row r="1606" customHeight="1" spans="1:4">
      <c r="A1606" s="27"/>
      <c r="B1606" s="28"/>
      <c r="C1606" s="28"/>
      <c r="D1606" s="28"/>
    </row>
    <row r="1607" customHeight="1" spans="1:4">
      <c r="A1607" s="27"/>
      <c r="B1607" s="28"/>
      <c r="C1607" s="28"/>
      <c r="D1607" s="28"/>
    </row>
    <row r="1608" customHeight="1" spans="1:4">
      <c r="A1608" s="27"/>
      <c r="B1608" s="28"/>
      <c r="C1608" s="28"/>
      <c r="D1608" s="28"/>
    </row>
    <row r="1609" customHeight="1" spans="1:4">
      <c r="A1609" s="27"/>
      <c r="B1609" s="28"/>
      <c r="C1609" s="28"/>
      <c r="D1609" s="28"/>
    </row>
    <row r="1610" customHeight="1" spans="1:4">
      <c r="A1610" s="27"/>
      <c r="B1610" s="28"/>
      <c r="C1610" s="28"/>
      <c r="D1610" s="28"/>
    </row>
    <row r="1611" customHeight="1" spans="1:4">
      <c r="A1611" s="27"/>
      <c r="B1611" s="28"/>
      <c r="C1611" s="28"/>
      <c r="D1611" s="28"/>
    </row>
    <row r="1612" customHeight="1" spans="1:4">
      <c r="A1612" s="27"/>
      <c r="B1612" s="28"/>
      <c r="C1612" s="28"/>
      <c r="D1612" s="28"/>
    </row>
    <row r="1613" customHeight="1" spans="1:4">
      <c r="A1613" s="27"/>
      <c r="B1613" s="28"/>
      <c r="C1613" s="28"/>
      <c r="D1613" s="28"/>
    </row>
    <row r="1614" customHeight="1" spans="1:4">
      <c r="A1614" s="27"/>
      <c r="B1614" s="28"/>
      <c r="C1614" s="28"/>
      <c r="D1614" s="28"/>
    </row>
    <row r="1615" customHeight="1" spans="1:4">
      <c r="A1615" s="27"/>
      <c r="B1615" s="28"/>
      <c r="C1615" s="28"/>
      <c r="D1615" s="28"/>
    </row>
    <row r="1616" customHeight="1" spans="1:4">
      <c r="A1616" s="27"/>
      <c r="B1616" s="28"/>
      <c r="C1616" s="28"/>
      <c r="D1616" s="28"/>
    </row>
    <row r="1617" customHeight="1" spans="1:4">
      <c r="A1617" s="27"/>
      <c r="B1617" s="28"/>
      <c r="C1617" s="28"/>
      <c r="D1617" s="28"/>
    </row>
    <row r="1618" customHeight="1" spans="1:4">
      <c r="A1618" s="27"/>
      <c r="B1618" s="28"/>
      <c r="C1618" s="28"/>
      <c r="D1618" s="28"/>
    </row>
    <row r="1619" customHeight="1" spans="1:4">
      <c r="A1619" s="27"/>
      <c r="B1619" s="28"/>
      <c r="C1619" s="28"/>
      <c r="D1619" s="28"/>
    </row>
    <row r="1620" customHeight="1" spans="1:4">
      <c r="A1620" s="27"/>
      <c r="B1620" s="28"/>
      <c r="C1620" s="28"/>
      <c r="D1620" s="28"/>
    </row>
    <row r="1621" customHeight="1" spans="1:4">
      <c r="A1621" s="27"/>
      <c r="B1621" s="28"/>
      <c r="C1621" s="28"/>
      <c r="D1621" s="28"/>
    </row>
    <row r="1622" customHeight="1" spans="1:4">
      <c r="A1622" s="27"/>
      <c r="B1622" s="28"/>
      <c r="C1622" s="28"/>
      <c r="D1622" s="28"/>
    </row>
    <row r="1623" customHeight="1" spans="1:4">
      <c r="A1623" s="27"/>
      <c r="B1623" s="28"/>
      <c r="C1623" s="28"/>
      <c r="D1623" s="28"/>
    </row>
    <row r="1624" customHeight="1" spans="1:4">
      <c r="A1624" s="27"/>
      <c r="B1624" s="28"/>
      <c r="C1624" s="28"/>
      <c r="D1624" s="28"/>
    </row>
    <row r="1625" customHeight="1" spans="1:4">
      <c r="A1625" s="27"/>
      <c r="B1625" s="28"/>
      <c r="C1625" s="28"/>
      <c r="D1625" s="28"/>
    </row>
    <row r="1626" customHeight="1" spans="1:4">
      <c r="A1626" s="27"/>
      <c r="B1626" s="28"/>
      <c r="C1626" s="28"/>
      <c r="D1626" s="28"/>
    </row>
    <row r="1627" customHeight="1" spans="1:4">
      <c r="A1627" s="27"/>
      <c r="B1627" s="28"/>
      <c r="C1627" s="28"/>
      <c r="D1627" s="28"/>
    </row>
    <row r="1628" customHeight="1" spans="1:4">
      <c r="A1628" s="27"/>
      <c r="B1628" s="28"/>
      <c r="C1628" s="28"/>
      <c r="D1628" s="28"/>
    </row>
    <row r="1629" customHeight="1" spans="1:4">
      <c r="A1629" s="27"/>
      <c r="B1629" s="28"/>
      <c r="C1629" s="28"/>
      <c r="D1629" s="28"/>
    </row>
    <row r="1630" customHeight="1" spans="1:4">
      <c r="A1630" s="27"/>
      <c r="B1630" s="28"/>
      <c r="C1630" s="28"/>
      <c r="D1630" s="28"/>
    </row>
    <row r="1631" customHeight="1" spans="1:4">
      <c r="A1631" s="27"/>
      <c r="B1631" s="28"/>
      <c r="C1631" s="28"/>
      <c r="D1631" s="28"/>
    </row>
    <row r="1632" customHeight="1" spans="1:4">
      <c r="A1632" s="27"/>
      <c r="B1632" s="28"/>
      <c r="C1632" s="28"/>
      <c r="D1632" s="28"/>
    </row>
    <row r="1633" customHeight="1" spans="1:4">
      <c r="A1633" s="27"/>
      <c r="B1633" s="28"/>
      <c r="C1633" s="28"/>
      <c r="D1633" s="28"/>
    </row>
    <row r="1634" customHeight="1" spans="1:4">
      <c r="A1634" s="27"/>
      <c r="B1634" s="28"/>
      <c r="C1634" s="28"/>
      <c r="D1634" s="28"/>
    </row>
    <row r="1635" customHeight="1" spans="1:4">
      <c r="A1635" s="27"/>
      <c r="B1635" s="28"/>
      <c r="C1635" s="28"/>
      <c r="D1635" s="28"/>
    </row>
    <row r="1636" customHeight="1" spans="1:4">
      <c r="A1636" s="27"/>
      <c r="B1636" s="28"/>
      <c r="C1636" s="28"/>
      <c r="D1636" s="28"/>
    </row>
    <row r="1637" customHeight="1" spans="1:4">
      <c r="A1637" s="27"/>
      <c r="B1637" s="28"/>
      <c r="C1637" s="28"/>
      <c r="D1637" s="28"/>
    </row>
    <row r="1638" customHeight="1" spans="1:4">
      <c r="A1638" s="27"/>
      <c r="B1638" s="28"/>
      <c r="C1638" s="28"/>
      <c r="D1638" s="28"/>
    </row>
    <row r="1639" customHeight="1" spans="1:4">
      <c r="A1639" s="27"/>
      <c r="B1639" s="28"/>
      <c r="C1639" s="28"/>
      <c r="D1639" s="28"/>
    </row>
    <row r="1640" customHeight="1" spans="1:4">
      <c r="A1640" s="27"/>
      <c r="B1640" s="28"/>
      <c r="C1640" s="28"/>
      <c r="D1640" s="28"/>
    </row>
    <row r="1641" customHeight="1" spans="1:4">
      <c r="A1641" s="27"/>
      <c r="B1641" s="28"/>
      <c r="C1641" s="28"/>
      <c r="D1641" s="28"/>
    </row>
    <row r="1642" customHeight="1" spans="1:4">
      <c r="A1642" s="27"/>
      <c r="B1642" s="28"/>
      <c r="C1642" s="28"/>
      <c r="D1642" s="28"/>
    </row>
    <row r="1643" customHeight="1" spans="1:4">
      <c r="A1643" s="27"/>
      <c r="B1643" s="28"/>
      <c r="C1643" s="28"/>
      <c r="D1643" s="28"/>
    </row>
    <row r="1644" customHeight="1" spans="1:4">
      <c r="A1644" s="27"/>
      <c r="B1644" s="28"/>
      <c r="C1644" s="28"/>
      <c r="D1644" s="28"/>
    </row>
    <row r="1645" customHeight="1" spans="1:4">
      <c r="A1645" s="27"/>
      <c r="B1645" s="28"/>
      <c r="C1645" s="28"/>
      <c r="D1645" s="28"/>
    </row>
    <row r="1646" customHeight="1" spans="1:4">
      <c r="A1646" s="27"/>
      <c r="B1646" s="28"/>
      <c r="C1646" s="28"/>
      <c r="D1646" s="28"/>
    </row>
    <row r="1647" customHeight="1" spans="1:4">
      <c r="A1647" s="27"/>
      <c r="B1647" s="28"/>
      <c r="C1647" s="28"/>
      <c r="D1647" s="28"/>
    </row>
    <row r="1648" customHeight="1" spans="1:4">
      <c r="A1648" s="27"/>
      <c r="B1648" s="28"/>
      <c r="C1648" s="28"/>
      <c r="D1648" s="28"/>
    </row>
    <row r="1649" customHeight="1" spans="1:4">
      <c r="A1649" s="27"/>
      <c r="B1649" s="28"/>
      <c r="C1649" s="28"/>
      <c r="D1649" s="28"/>
    </row>
    <row r="1650" customHeight="1" spans="1:4">
      <c r="A1650" s="27"/>
      <c r="B1650" s="28"/>
      <c r="C1650" s="28"/>
      <c r="D1650" s="28"/>
    </row>
    <row r="1651" customHeight="1" spans="1:4">
      <c r="A1651" s="27"/>
      <c r="B1651" s="28"/>
      <c r="C1651" s="28"/>
      <c r="D1651" s="28"/>
    </row>
    <row r="1652" customHeight="1" spans="1:4">
      <c r="A1652" s="27"/>
      <c r="B1652" s="28"/>
      <c r="C1652" s="28"/>
      <c r="D1652" s="28"/>
    </row>
    <row r="1653" customHeight="1" spans="1:4">
      <c r="A1653" s="27"/>
      <c r="B1653" s="28"/>
      <c r="C1653" s="28"/>
      <c r="D1653" s="28"/>
    </row>
    <row r="1654" customHeight="1" spans="1:4">
      <c r="A1654" s="27"/>
      <c r="B1654" s="28"/>
      <c r="C1654" s="28"/>
      <c r="D1654" s="28"/>
    </row>
    <row r="1655" customHeight="1" spans="1:4">
      <c r="A1655" s="27"/>
      <c r="B1655" s="28"/>
      <c r="C1655" s="28"/>
      <c r="D1655" s="28"/>
    </row>
    <row r="1656" customHeight="1" spans="1:4">
      <c r="A1656" s="27"/>
      <c r="B1656" s="28"/>
      <c r="C1656" s="28"/>
      <c r="D1656" s="28"/>
    </row>
    <row r="1657" customHeight="1" spans="1:4">
      <c r="A1657" s="27"/>
      <c r="B1657" s="28"/>
      <c r="C1657" s="28"/>
      <c r="D1657" s="28"/>
    </row>
    <row r="1658" customHeight="1" spans="1:4">
      <c r="A1658" s="27"/>
      <c r="B1658" s="28"/>
      <c r="C1658" s="28"/>
      <c r="D1658" s="28"/>
    </row>
    <row r="1659" customHeight="1" spans="1:4">
      <c r="A1659" s="27"/>
      <c r="B1659" s="28"/>
      <c r="C1659" s="28"/>
      <c r="D1659" s="28"/>
    </row>
    <row r="1660" customHeight="1" spans="1:4">
      <c r="A1660" s="27"/>
      <c r="B1660" s="28"/>
      <c r="C1660" s="28"/>
      <c r="D1660" s="28"/>
    </row>
    <row r="1661" customHeight="1" spans="1:4">
      <c r="A1661" s="27"/>
      <c r="B1661" s="28"/>
      <c r="C1661" s="28"/>
      <c r="D1661" s="28"/>
    </row>
    <row r="1662" customHeight="1" spans="1:4">
      <c r="A1662" s="27"/>
      <c r="B1662" s="28"/>
      <c r="C1662" s="28"/>
      <c r="D1662" s="28"/>
    </row>
    <row r="1663" customHeight="1" spans="1:4">
      <c r="A1663" s="27"/>
      <c r="B1663" s="28"/>
      <c r="C1663" s="28"/>
      <c r="D1663" s="28"/>
    </row>
    <row r="1664" customHeight="1" spans="1:4">
      <c r="A1664" s="27"/>
      <c r="B1664" s="28"/>
      <c r="C1664" s="28"/>
      <c r="D1664" s="28"/>
    </row>
    <row r="1665" customHeight="1" spans="1:4">
      <c r="A1665" s="27"/>
      <c r="B1665" s="28"/>
      <c r="C1665" s="28"/>
      <c r="D1665" s="28"/>
    </row>
    <row r="1666" customHeight="1" spans="1:4">
      <c r="A1666" s="27"/>
      <c r="B1666" s="28"/>
      <c r="C1666" s="28"/>
      <c r="D1666" s="28"/>
    </row>
    <row r="1667" customHeight="1" spans="1:4">
      <c r="A1667" s="27"/>
      <c r="B1667" s="28"/>
      <c r="C1667" s="28"/>
      <c r="D1667" s="28"/>
    </row>
    <row r="1668" customHeight="1" spans="1:4">
      <c r="A1668" s="27"/>
      <c r="B1668" s="28"/>
      <c r="C1668" s="28"/>
      <c r="D1668" s="28"/>
    </row>
    <row r="1669" customHeight="1" spans="1:4">
      <c r="A1669" s="27"/>
      <c r="B1669" s="28"/>
      <c r="C1669" s="28"/>
      <c r="D1669" s="28"/>
    </row>
    <row r="1670" customHeight="1" spans="1:4">
      <c r="A1670" s="27"/>
      <c r="B1670" s="28"/>
      <c r="C1670" s="28"/>
      <c r="D1670" s="28"/>
    </row>
    <row r="1671" customHeight="1" spans="1:4">
      <c r="A1671" s="27"/>
      <c r="B1671" s="28"/>
      <c r="C1671" s="28"/>
      <c r="D1671" s="28"/>
    </row>
    <row r="1672" customHeight="1" spans="1:4">
      <c r="A1672" s="27"/>
      <c r="B1672" s="28"/>
      <c r="C1672" s="28"/>
      <c r="D1672" s="28"/>
    </row>
    <row r="1673" customHeight="1" spans="1:4">
      <c r="A1673" s="27"/>
      <c r="B1673" s="28"/>
      <c r="C1673" s="28"/>
      <c r="D1673" s="28"/>
    </row>
    <row r="1674" customHeight="1" spans="1:4">
      <c r="A1674" s="27"/>
      <c r="B1674" s="28"/>
      <c r="C1674" s="28"/>
      <c r="D1674" s="28"/>
    </row>
    <row r="1675" customHeight="1" spans="1:4">
      <c r="A1675" s="27"/>
      <c r="B1675" s="28"/>
      <c r="C1675" s="28"/>
      <c r="D1675" s="28"/>
    </row>
    <row r="1676" customHeight="1" spans="1:4">
      <c r="A1676" s="27"/>
      <c r="B1676" s="28"/>
      <c r="C1676" s="28"/>
      <c r="D1676" s="28"/>
    </row>
    <row r="1677" customHeight="1" spans="1:4">
      <c r="A1677" s="27"/>
      <c r="B1677" s="28"/>
      <c r="C1677" s="28"/>
      <c r="D1677" s="28"/>
    </row>
    <row r="1678" customHeight="1" spans="1:4">
      <c r="A1678" s="27"/>
      <c r="B1678" s="28"/>
      <c r="C1678" s="28"/>
      <c r="D1678" s="28"/>
    </row>
    <row r="1679" customHeight="1" spans="1:4">
      <c r="A1679" s="27"/>
      <c r="B1679" s="28"/>
      <c r="C1679" s="28"/>
      <c r="D1679" s="28"/>
    </row>
    <row r="1680" customHeight="1" spans="1:4">
      <c r="A1680" s="27"/>
      <c r="B1680" s="28"/>
      <c r="C1680" s="28"/>
      <c r="D1680" s="28"/>
    </row>
    <row r="1681" customHeight="1" spans="1:4">
      <c r="A1681" s="27"/>
      <c r="B1681" s="28"/>
      <c r="C1681" s="28"/>
      <c r="D1681" s="28"/>
    </row>
    <row r="1682" customHeight="1" spans="1:4">
      <c r="A1682" s="27"/>
      <c r="B1682" s="28"/>
      <c r="C1682" s="28"/>
      <c r="D1682" s="28"/>
    </row>
    <row r="1683" customHeight="1" spans="1:4">
      <c r="A1683" s="27"/>
      <c r="B1683" s="28"/>
      <c r="C1683" s="28"/>
      <c r="D1683" s="28"/>
    </row>
    <row r="1684" customHeight="1" spans="1:4">
      <c r="A1684" s="27"/>
      <c r="B1684" s="28"/>
      <c r="C1684" s="28"/>
      <c r="D1684" s="28"/>
    </row>
    <row r="1685" customHeight="1" spans="1:4">
      <c r="A1685" s="27"/>
      <c r="B1685" s="28"/>
      <c r="C1685" s="28"/>
      <c r="D1685" s="28"/>
    </row>
    <row r="1686" customHeight="1" spans="1:4">
      <c r="A1686" s="27"/>
      <c r="B1686" s="28"/>
      <c r="C1686" s="28"/>
      <c r="D1686" s="28"/>
    </row>
    <row r="1687" customHeight="1" spans="1:4">
      <c r="A1687" s="27"/>
      <c r="B1687" s="28"/>
      <c r="C1687" s="28"/>
      <c r="D1687" s="28"/>
    </row>
    <row r="1688" customHeight="1" spans="1:4">
      <c r="A1688" s="27"/>
      <c r="B1688" s="28"/>
      <c r="C1688" s="28"/>
      <c r="D1688" s="28"/>
    </row>
    <row r="1689" customHeight="1" spans="1:4">
      <c r="A1689" s="27"/>
      <c r="B1689" s="28"/>
      <c r="C1689" s="28"/>
      <c r="D1689" s="28"/>
    </row>
    <row r="1690" customHeight="1" spans="1:4">
      <c r="A1690" s="27"/>
      <c r="B1690" s="28"/>
      <c r="C1690" s="28"/>
      <c r="D1690" s="28"/>
    </row>
    <row r="1691" customHeight="1" spans="1:4">
      <c r="A1691" s="27"/>
      <c r="B1691" s="28"/>
      <c r="C1691" s="28"/>
      <c r="D1691" s="28"/>
    </row>
    <row r="1692" customHeight="1" spans="1:4">
      <c r="A1692" s="27"/>
      <c r="B1692" s="28"/>
      <c r="C1692" s="28"/>
      <c r="D1692" s="28"/>
    </row>
    <row r="1693" customHeight="1" spans="1:4">
      <c r="A1693" s="27"/>
      <c r="B1693" s="28"/>
      <c r="C1693" s="28"/>
      <c r="D1693" s="28"/>
    </row>
    <row r="1694" customHeight="1" spans="1:4">
      <c r="A1694" s="27"/>
      <c r="B1694" s="28"/>
      <c r="C1694" s="28"/>
      <c r="D1694" s="28"/>
    </row>
    <row r="1695" customHeight="1" spans="1:4">
      <c r="A1695" s="27"/>
      <c r="B1695" s="28"/>
      <c r="C1695" s="28"/>
      <c r="D1695" s="28"/>
    </row>
    <row r="1696" customHeight="1" spans="1:4">
      <c r="A1696" s="27"/>
      <c r="B1696" s="28"/>
      <c r="C1696" s="28"/>
      <c r="D1696" s="28"/>
    </row>
    <row r="1697" customHeight="1" spans="1:4">
      <c r="A1697" s="27"/>
      <c r="B1697" s="28"/>
      <c r="C1697" s="28"/>
      <c r="D1697" s="28"/>
    </row>
    <row r="1698" customHeight="1" spans="1:4">
      <c r="A1698" s="27"/>
      <c r="B1698" s="28"/>
      <c r="C1698" s="28"/>
      <c r="D1698" s="28"/>
    </row>
    <row r="1699" customHeight="1" spans="1:4">
      <c r="A1699" s="27"/>
      <c r="B1699" s="28"/>
      <c r="C1699" s="28"/>
      <c r="D1699" s="28"/>
    </row>
    <row r="1700" customHeight="1" spans="1:4">
      <c r="A1700" s="27"/>
      <c r="B1700" s="28"/>
      <c r="C1700" s="28"/>
      <c r="D1700" s="28"/>
    </row>
    <row r="1701" customHeight="1" spans="1:4">
      <c r="A1701" s="27"/>
      <c r="B1701" s="28"/>
      <c r="C1701" s="28"/>
      <c r="D1701" s="28"/>
    </row>
    <row r="1702" customHeight="1" spans="1:4">
      <c r="A1702" s="27"/>
      <c r="B1702" s="28"/>
      <c r="C1702" s="28"/>
      <c r="D1702" s="28"/>
    </row>
    <row r="1703" customHeight="1" spans="1:4">
      <c r="A1703" s="27"/>
      <c r="B1703" s="28"/>
      <c r="C1703" s="28"/>
      <c r="D1703" s="28"/>
    </row>
    <row r="1704" customHeight="1" spans="1:4">
      <c r="A1704" s="27"/>
      <c r="B1704" s="28"/>
      <c r="C1704" s="28"/>
      <c r="D1704" s="28"/>
    </row>
    <row r="1705" customHeight="1" spans="1:4">
      <c r="A1705" s="27"/>
      <c r="B1705" s="28"/>
      <c r="C1705" s="28"/>
      <c r="D1705" s="28"/>
    </row>
    <row r="1706" customHeight="1" spans="1:4">
      <c r="A1706" s="27"/>
      <c r="B1706" s="28"/>
      <c r="C1706" s="28"/>
      <c r="D1706" s="28"/>
    </row>
    <row r="1707" customHeight="1" spans="1:4">
      <c r="A1707" s="27"/>
      <c r="B1707" s="28"/>
      <c r="C1707" s="28"/>
      <c r="D1707" s="28"/>
    </row>
    <row r="1708" customHeight="1" spans="1:4">
      <c r="A1708" s="27"/>
      <c r="B1708" s="28"/>
      <c r="C1708" s="28"/>
      <c r="D1708" s="28"/>
    </row>
    <row r="1709" customHeight="1" spans="1:4">
      <c r="A1709" s="27"/>
      <c r="B1709" s="28"/>
      <c r="C1709" s="28"/>
      <c r="D1709" s="28"/>
    </row>
    <row r="1710" customHeight="1" spans="1:4">
      <c r="A1710" s="27"/>
      <c r="B1710" s="28"/>
      <c r="C1710" s="28"/>
      <c r="D1710" s="28"/>
    </row>
    <row r="1711" customHeight="1" spans="1:4">
      <c r="A1711" s="27"/>
      <c r="B1711" s="28"/>
      <c r="C1711" s="28"/>
      <c r="D1711" s="28"/>
    </row>
    <row r="1712" customHeight="1" spans="1:4">
      <c r="A1712" s="27"/>
      <c r="B1712" s="28"/>
      <c r="C1712" s="28"/>
      <c r="D1712" s="28"/>
    </row>
    <row r="1713" customHeight="1" spans="1:4">
      <c r="A1713" s="27"/>
      <c r="B1713" s="28"/>
      <c r="C1713" s="28"/>
      <c r="D1713" s="28"/>
    </row>
    <row r="1714" customHeight="1" spans="1:4">
      <c r="A1714" s="27"/>
      <c r="B1714" s="28"/>
      <c r="C1714" s="28"/>
      <c r="D1714" s="28"/>
    </row>
    <row r="1715" customHeight="1" spans="1:4">
      <c r="A1715" s="27"/>
      <c r="B1715" s="28"/>
      <c r="C1715" s="28"/>
      <c r="D1715" s="28"/>
    </row>
    <row r="1716" customHeight="1" spans="1:4">
      <c r="A1716" s="27"/>
      <c r="B1716" s="28"/>
      <c r="C1716" s="28"/>
      <c r="D1716" s="28"/>
    </row>
    <row r="1717" customHeight="1" spans="1:4">
      <c r="A1717" s="27"/>
      <c r="B1717" s="28"/>
      <c r="C1717" s="28"/>
      <c r="D1717" s="28"/>
    </row>
    <row r="1718" customHeight="1" spans="1:4">
      <c r="A1718" s="27"/>
      <c r="B1718" s="28"/>
      <c r="C1718" s="28"/>
      <c r="D1718" s="28"/>
    </row>
    <row r="1719" customHeight="1" spans="1:4">
      <c r="A1719" s="27"/>
      <c r="B1719" s="28"/>
      <c r="C1719" s="28"/>
      <c r="D1719" s="28"/>
    </row>
    <row r="1720" customHeight="1" spans="1:4">
      <c r="A1720" s="27"/>
      <c r="B1720" s="28"/>
      <c r="C1720" s="28"/>
      <c r="D1720" s="28"/>
    </row>
    <row r="1721" customHeight="1" spans="1:4">
      <c r="A1721" s="27"/>
      <c r="B1721" s="28"/>
      <c r="C1721" s="28"/>
      <c r="D1721" s="28"/>
    </row>
    <row r="1722" customHeight="1" spans="1:4">
      <c r="A1722" s="27"/>
      <c r="B1722" s="28"/>
      <c r="C1722" s="28"/>
      <c r="D1722" s="28"/>
    </row>
    <row r="1723" customHeight="1" spans="1:4">
      <c r="A1723" s="27"/>
      <c r="B1723" s="28"/>
      <c r="C1723" s="28"/>
      <c r="D1723" s="28"/>
    </row>
    <row r="1724" customHeight="1" spans="1:4">
      <c r="A1724" s="27"/>
      <c r="B1724" s="28"/>
      <c r="C1724" s="28"/>
      <c r="D1724" s="28"/>
    </row>
    <row r="1725" customHeight="1" spans="1:4">
      <c r="A1725" s="27"/>
      <c r="B1725" s="28"/>
      <c r="C1725" s="28"/>
      <c r="D1725" s="28"/>
    </row>
    <row r="1726" customHeight="1" spans="1:4">
      <c r="A1726" s="27"/>
      <c r="B1726" s="28"/>
      <c r="C1726" s="28"/>
      <c r="D1726" s="28"/>
    </row>
    <row r="1727" customHeight="1" spans="1:4">
      <c r="A1727" s="27"/>
      <c r="B1727" s="28"/>
      <c r="C1727" s="28"/>
      <c r="D1727" s="28"/>
    </row>
    <row r="1728" customHeight="1" spans="1:4">
      <c r="A1728" s="27"/>
      <c r="B1728" s="28"/>
      <c r="C1728" s="28"/>
      <c r="D1728" s="28"/>
    </row>
    <row r="1729" customHeight="1" spans="1:4">
      <c r="A1729" s="27"/>
      <c r="B1729" s="28"/>
      <c r="C1729" s="28"/>
      <c r="D1729" s="28"/>
    </row>
    <row r="1730" customHeight="1" spans="1:4">
      <c r="A1730" s="27"/>
      <c r="B1730" s="28"/>
      <c r="C1730" s="28"/>
      <c r="D1730" s="28"/>
    </row>
    <row r="1731" customHeight="1" spans="1:4">
      <c r="A1731" s="27"/>
      <c r="B1731" s="28"/>
      <c r="C1731" s="28"/>
      <c r="D1731" s="28"/>
    </row>
    <row r="1732" customHeight="1" spans="1:4">
      <c r="A1732" s="27"/>
      <c r="B1732" s="28"/>
      <c r="C1732" s="28"/>
      <c r="D1732" s="28"/>
    </row>
    <row r="1733" customHeight="1" spans="1:4">
      <c r="A1733" s="27"/>
      <c r="B1733" s="28"/>
      <c r="C1733" s="28"/>
      <c r="D1733" s="28"/>
    </row>
    <row r="1734" customHeight="1" spans="1:4">
      <c r="A1734" s="27"/>
      <c r="B1734" s="28"/>
      <c r="C1734" s="28"/>
      <c r="D1734" s="28"/>
    </row>
    <row r="1735" customHeight="1" spans="1:4">
      <c r="A1735" s="27"/>
      <c r="B1735" s="28"/>
      <c r="C1735" s="28"/>
      <c r="D1735" s="28"/>
    </row>
    <row r="1736" customHeight="1" spans="1:4">
      <c r="A1736" s="27"/>
      <c r="B1736" s="28"/>
      <c r="C1736" s="28"/>
      <c r="D1736" s="28"/>
    </row>
    <row r="1737" customHeight="1" spans="1:4">
      <c r="A1737" s="27"/>
      <c r="B1737" s="28"/>
      <c r="C1737" s="28"/>
      <c r="D1737" s="28"/>
    </row>
    <row r="1738" customHeight="1" spans="1:4">
      <c r="A1738" s="27"/>
      <c r="B1738" s="28"/>
      <c r="C1738" s="28"/>
      <c r="D1738" s="28"/>
    </row>
    <row r="1739" customHeight="1" spans="1:4">
      <c r="A1739" s="27"/>
      <c r="B1739" s="28"/>
      <c r="C1739" s="28"/>
      <c r="D1739" s="28"/>
    </row>
    <row r="1740" customHeight="1" spans="1:4">
      <c r="A1740" s="27"/>
      <c r="B1740" s="28"/>
      <c r="C1740" s="28"/>
      <c r="D1740" s="28"/>
    </row>
    <row r="1741" customHeight="1" spans="1:4">
      <c r="A1741" s="27"/>
      <c r="B1741" s="28"/>
      <c r="C1741" s="28"/>
      <c r="D1741" s="28"/>
    </row>
    <row r="1742" customHeight="1" spans="1:4">
      <c r="A1742" s="27"/>
      <c r="B1742" s="28"/>
      <c r="C1742" s="28"/>
      <c r="D1742" s="28"/>
    </row>
    <row r="1743" customHeight="1" spans="1:4">
      <c r="A1743" s="27"/>
      <c r="B1743" s="28"/>
      <c r="C1743" s="28"/>
      <c r="D1743" s="28"/>
    </row>
    <row r="1744" customHeight="1" spans="1:4">
      <c r="A1744" s="27"/>
      <c r="B1744" s="28"/>
      <c r="C1744" s="28"/>
      <c r="D1744" s="28"/>
    </row>
    <row r="1745" customHeight="1" spans="1:4">
      <c r="A1745" s="27"/>
      <c r="B1745" s="28"/>
      <c r="C1745" s="28"/>
      <c r="D1745" s="28"/>
    </row>
    <row r="1746" customHeight="1" spans="1:4">
      <c r="A1746" s="27"/>
      <c r="B1746" s="28"/>
      <c r="C1746" s="28"/>
      <c r="D1746" s="28"/>
    </row>
    <row r="1747" customHeight="1" spans="1:4">
      <c r="A1747" s="27"/>
      <c r="B1747" s="28"/>
      <c r="C1747" s="28"/>
      <c r="D1747" s="28"/>
    </row>
    <row r="1748" customHeight="1" spans="1:4">
      <c r="A1748" s="27"/>
      <c r="B1748" s="28"/>
      <c r="C1748" s="28"/>
      <c r="D1748" s="28"/>
    </row>
    <row r="1749" customHeight="1" spans="1:4">
      <c r="A1749" s="27"/>
      <c r="B1749" s="28"/>
      <c r="C1749" s="28"/>
      <c r="D1749" s="28"/>
    </row>
    <row r="1750" customHeight="1" spans="1:4">
      <c r="A1750" s="27"/>
      <c r="B1750" s="28"/>
      <c r="C1750" s="28"/>
      <c r="D1750" s="28"/>
    </row>
    <row r="1751" customHeight="1" spans="1:4">
      <c r="A1751" s="27"/>
      <c r="B1751" s="28"/>
      <c r="C1751" s="28"/>
      <c r="D1751" s="28"/>
    </row>
    <row r="1752" customHeight="1" spans="1:4">
      <c r="A1752" s="27"/>
      <c r="B1752" s="28"/>
      <c r="C1752" s="28"/>
      <c r="D1752" s="28"/>
    </row>
    <row r="1753" customHeight="1" spans="1:4">
      <c r="A1753" s="27"/>
      <c r="B1753" s="28"/>
      <c r="C1753" s="28"/>
      <c r="D1753" s="28"/>
    </row>
    <row r="1754" customHeight="1" spans="1:4">
      <c r="A1754" s="27"/>
      <c r="B1754" s="28"/>
      <c r="C1754" s="28"/>
      <c r="D1754" s="28"/>
    </row>
    <row r="1755" customHeight="1" spans="1:4">
      <c r="A1755" s="27"/>
      <c r="B1755" s="28"/>
      <c r="C1755" s="28"/>
      <c r="D1755" s="28"/>
    </row>
    <row r="1756" customHeight="1" spans="1:4">
      <c r="A1756" s="27"/>
      <c r="B1756" s="28"/>
      <c r="C1756" s="28"/>
      <c r="D1756" s="28"/>
    </row>
    <row r="1757" customHeight="1" spans="1:4">
      <c r="A1757" s="27"/>
      <c r="B1757" s="28"/>
      <c r="C1757" s="28"/>
      <c r="D1757" s="28"/>
    </row>
    <row r="1758" customHeight="1" spans="1:4">
      <c r="A1758" s="27"/>
      <c r="B1758" s="28"/>
      <c r="C1758" s="28"/>
      <c r="D1758" s="28"/>
    </row>
    <row r="1759" customHeight="1" spans="1:4">
      <c r="A1759" s="27"/>
      <c r="B1759" s="28"/>
      <c r="C1759" s="28"/>
      <c r="D1759" s="28"/>
    </row>
    <row r="1760" customHeight="1" spans="1:4">
      <c r="A1760" s="27"/>
      <c r="B1760" s="28"/>
      <c r="C1760" s="28"/>
      <c r="D1760" s="28"/>
    </row>
    <row r="1761" customHeight="1" spans="1:4">
      <c r="A1761" s="27"/>
      <c r="B1761" s="28"/>
      <c r="C1761" s="28"/>
      <c r="D1761" s="28"/>
    </row>
    <row r="1762" customHeight="1" spans="1:4">
      <c r="A1762" s="27"/>
      <c r="B1762" s="28"/>
      <c r="C1762" s="28"/>
      <c r="D1762" s="28"/>
    </row>
    <row r="1763" customHeight="1" spans="1:4">
      <c r="A1763" s="27"/>
      <c r="B1763" s="28"/>
      <c r="C1763" s="28"/>
      <c r="D1763" s="28"/>
    </row>
    <row r="1764" customHeight="1" spans="1:4">
      <c r="A1764" s="27"/>
      <c r="B1764" s="28"/>
      <c r="C1764" s="28"/>
      <c r="D1764" s="28"/>
    </row>
    <row r="1765" customHeight="1" spans="1:4">
      <c r="A1765" s="27"/>
      <c r="B1765" s="28"/>
      <c r="C1765" s="28"/>
      <c r="D1765" s="28"/>
    </row>
    <row r="1766" customHeight="1" spans="1:4">
      <c r="A1766" s="27"/>
      <c r="B1766" s="28"/>
      <c r="C1766" s="28"/>
      <c r="D1766" s="28"/>
    </row>
    <row r="1767" customHeight="1" spans="1:4">
      <c r="A1767" s="27"/>
      <c r="B1767" s="28"/>
      <c r="C1767" s="28"/>
      <c r="D1767" s="28"/>
    </row>
    <row r="1768" customHeight="1" spans="1:4">
      <c r="A1768" s="27"/>
      <c r="B1768" s="28"/>
      <c r="C1768" s="28"/>
      <c r="D1768" s="28"/>
    </row>
    <row r="1769" customHeight="1" spans="1:4">
      <c r="A1769" s="27"/>
      <c r="B1769" s="28"/>
      <c r="C1769" s="28"/>
      <c r="D1769" s="28"/>
    </row>
    <row r="1770" customHeight="1" spans="1:4">
      <c r="A1770" s="27"/>
      <c r="B1770" s="28"/>
      <c r="C1770" s="28"/>
      <c r="D1770" s="28"/>
    </row>
    <row r="1771" customHeight="1" spans="1:4">
      <c r="A1771" s="27"/>
      <c r="B1771" s="28"/>
      <c r="C1771" s="28"/>
      <c r="D1771" s="28"/>
    </row>
    <row r="1772" customHeight="1" spans="1:4">
      <c r="A1772" s="27"/>
      <c r="B1772" s="28"/>
      <c r="C1772" s="28"/>
      <c r="D1772" s="28"/>
    </row>
    <row r="1773" customHeight="1" spans="1:4">
      <c r="A1773" s="27"/>
      <c r="B1773" s="28"/>
      <c r="C1773" s="28"/>
      <c r="D1773" s="28"/>
    </row>
    <row r="1774" customHeight="1" spans="1:4">
      <c r="A1774" s="27"/>
      <c r="B1774" s="28"/>
      <c r="C1774" s="28"/>
      <c r="D1774" s="28"/>
    </row>
    <row r="1775" customHeight="1" spans="1:4">
      <c r="A1775" s="27"/>
      <c r="B1775" s="28"/>
      <c r="C1775" s="28"/>
      <c r="D1775" s="28"/>
    </row>
    <row r="1776" customHeight="1" spans="1:4">
      <c r="A1776" s="27"/>
      <c r="B1776" s="28"/>
      <c r="C1776" s="28"/>
      <c r="D1776" s="28"/>
    </row>
    <row r="1777" customHeight="1" spans="1:4">
      <c r="A1777" s="27"/>
      <c r="B1777" s="28"/>
      <c r="C1777" s="28"/>
      <c r="D1777" s="28"/>
    </row>
    <row r="1778" customHeight="1" spans="1:4">
      <c r="A1778" s="27"/>
      <c r="B1778" s="28"/>
      <c r="C1778" s="28"/>
      <c r="D1778" s="28"/>
    </row>
    <row r="1779" customHeight="1" spans="1:4">
      <c r="A1779" s="27"/>
      <c r="B1779" s="28"/>
      <c r="C1779" s="28"/>
      <c r="D1779" s="28"/>
    </row>
    <row r="1780" customHeight="1" spans="1:4">
      <c r="A1780" s="27"/>
      <c r="B1780" s="28"/>
      <c r="C1780" s="28"/>
      <c r="D1780" s="28"/>
    </row>
    <row r="1781" customHeight="1" spans="1:4">
      <c r="A1781" s="27"/>
      <c r="B1781" s="28"/>
      <c r="C1781" s="28"/>
      <c r="D1781" s="28"/>
    </row>
    <row r="1782" customHeight="1" spans="1:4">
      <c r="A1782" s="27"/>
      <c r="B1782" s="28"/>
      <c r="C1782" s="28"/>
      <c r="D1782" s="28"/>
    </row>
    <row r="1783" customHeight="1" spans="1:4">
      <c r="A1783" s="27"/>
      <c r="B1783" s="28"/>
      <c r="C1783" s="28"/>
      <c r="D1783" s="28"/>
    </row>
    <row r="1784" customHeight="1" spans="1:4">
      <c r="A1784" s="27"/>
      <c r="B1784" s="28"/>
      <c r="C1784" s="28"/>
      <c r="D1784" s="28"/>
    </row>
    <row r="1785" customHeight="1" spans="1:4">
      <c r="A1785" s="27"/>
      <c r="B1785" s="28"/>
      <c r="C1785" s="28"/>
      <c r="D1785" s="28"/>
    </row>
    <row r="1786" customHeight="1" spans="1:4">
      <c r="A1786" s="27"/>
      <c r="B1786" s="28"/>
      <c r="C1786" s="28"/>
      <c r="D1786" s="28"/>
    </row>
    <row r="1787" customHeight="1" spans="1:4">
      <c r="A1787" s="27"/>
      <c r="B1787" s="28"/>
      <c r="C1787" s="28"/>
      <c r="D1787" s="28"/>
    </row>
    <row r="1788" customHeight="1" spans="1:4">
      <c r="A1788" s="27"/>
      <c r="B1788" s="28"/>
      <c r="C1788" s="28"/>
      <c r="D1788" s="28"/>
    </row>
    <row r="1789" customHeight="1" spans="1:4">
      <c r="A1789" s="27"/>
      <c r="B1789" s="28"/>
      <c r="C1789" s="28"/>
      <c r="D1789" s="28"/>
    </row>
    <row r="1790" customHeight="1" spans="1:4">
      <c r="A1790" s="27"/>
      <c r="B1790" s="28"/>
      <c r="C1790" s="28"/>
      <c r="D1790" s="28"/>
    </row>
    <row r="1791" customHeight="1" spans="1:4">
      <c r="A1791" s="27"/>
      <c r="B1791" s="28"/>
      <c r="C1791" s="28"/>
      <c r="D1791" s="28"/>
    </row>
    <row r="1792" customHeight="1" spans="1:4">
      <c r="A1792" s="27"/>
      <c r="B1792" s="28"/>
      <c r="C1792" s="28"/>
      <c r="D1792" s="28"/>
    </row>
    <row r="1793" customHeight="1" spans="1:4">
      <c r="A1793" s="27"/>
      <c r="B1793" s="28"/>
      <c r="C1793" s="28"/>
      <c r="D1793" s="28"/>
    </row>
    <row r="1794" customHeight="1" spans="1:4">
      <c r="A1794" s="27"/>
      <c r="B1794" s="28"/>
      <c r="C1794" s="28"/>
      <c r="D1794" s="28"/>
    </row>
    <row r="1795" customHeight="1" spans="1:4">
      <c r="A1795" s="27"/>
      <c r="B1795" s="28"/>
      <c r="C1795" s="28"/>
      <c r="D1795" s="28"/>
    </row>
    <row r="1796" customHeight="1" spans="1:4">
      <c r="A1796" s="27"/>
      <c r="B1796" s="28"/>
      <c r="C1796" s="28"/>
      <c r="D1796" s="28"/>
    </row>
    <row r="1797" customHeight="1" spans="1:4">
      <c r="A1797" s="27"/>
      <c r="B1797" s="28"/>
      <c r="C1797" s="28"/>
      <c r="D1797" s="28"/>
    </row>
    <row r="1798" customHeight="1" spans="1:4">
      <c r="A1798" s="27"/>
      <c r="B1798" s="28"/>
      <c r="C1798" s="28"/>
      <c r="D1798" s="28"/>
    </row>
    <row r="1799" customHeight="1" spans="1:4">
      <c r="A1799" s="27"/>
      <c r="B1799" s="28"/>
      <c r="C1799" s="28"/>
      <c r="D1799" s="28"/>
    </row>
    <row r="1800" customHeight="1" spans="1:4">
      <c r="A1800" s="27"/>
      <c r="B1800" s="28"/>
      <c r="C1800" s="28"/>
      <c r="D1800" s="28"/>
    </row>
    <row r="1801" customHeight="1" spans="1:4">
      <c r="A1801" s="27"/>
      <c r="B1801" s="28"/>
      <c r="C1801" s="28"/>
      <c r="D1801" s="28"/>
    </row>
    <row r="1802" customHeight="1" spans="1:4">
      <c r="A1802" s="27"/>
      <c r="B1802" s="28"/>
      <c r="C1802" s="28"/>
      <c r="D1802" s="28"/>
    </row>
    <row r="1803" customHeight="1" spans="1:4">
      <c r="A1803" s="27"/>
      <c r="B1803" s="28"/>
      <c r="C1803" s="28"/>
      <c r="D1803" s="28"/>
    </row>
    <row r="1804" customHeight="1" spans="1:4">
      <c r="A1804" s="27"/>
      <c r="B1804" s="28"/>
      <c r="C1804" s="28"/>
      <c r="D1804" s="28"/>
    </row>
    <row r="1805" customHeight="1" spans="1:4">
      <c r="A1805" s="27"/>
      <c r="B1805" s="28"/>
      <c r="C1805" s="28"/>
      <c r="D1805" s="28"/>
    </row>
    <row r="1806" customHeight="1" spans="1:4">
      <c r="A1806" s="27"/>
      <c r="B1806" s="28"/>
      <c r="C1806" s="28"/>
      <c r="D1806" s="28"/>
    </row>
    <row r="1807" customHeight="1" spans="1:4">
      <c r="A1807" s="27"/>
      <c r="B1807" s="28"/>
      <c r="C1807" s="28"/>
      <c r="D1807" s="28"/>
    </row>
    <row r="1808" customHeight="1" spans="1:4">
      <c r="A1808" s="27"/>
      <c r="B1808" s="28"/>
      <c r="C1808" s="28"/>
      <c r="D1808" s="28"/>
    </row>
    <row r="1809" customHeight="1" spans="1:4">
      <c r="A1809" s="27"/>
      <c r="B1809" s="28"/>
      <c r="C1809" s="28"/>
      <c r="D1809" s="28"/>
    </row>
    <row r="1810" customHeight="1" spans="1:4">
      <c r="A1810" s="27"/>
      <c r="B1810" s="28"/>
      <c r="C1810" s="28"/>
      <c r="D1810" s="28"/>
    </row>
    <row r="1811" customHeight="1" spans="1:4">
      <c r="A1811" s="27"/>
      <c r="B1811" s="28"/>
      <c r="C1811" s="28"/>
      <c r="D1811" s="28"/>
    </row>
    <row r="1812" customHeight="1" spans="1:4">
      <c r="A1812" s="27"/>
      <c r="B1812" s="28"/>
      <c r="C1812" s="28"/>
      <c r="D1812" s="28"/>
    </row>
    <row r="1813" customHeight="1" spans="1:4">
      <c r="A1813" s="27"/>
      <c r="B1813" s="28"/>
      <c r="C1813" s="28"/>
      <c r="D1813" s="28"/>
    </row>
    <row r="1814" customHeight="1" spans="1:4">
      <c r="A1814" s="27"/>
      <c r="B1814" s="28"/>
      <c r="C1814" s="28"/>
      <c r="D1814" s="28"/>
    </row>
    <row r="1815" customHeight="1" spans="1:4">
      <c r="A1815" s="27"/>
      <c r="B1815" s="28"/>
      <c r="C1815" s="28"/>
      <c r="D1815" s="28"/>
    </row>
    <row r="1816" customHeight="1" spans="1:4">
      <c r="A1816" s="27"/>
      <c r="B1816" s="28"/>
      <c r="C1816" s="28"/>
      <c r="D1816" s="28"/>
    </row>
    <row r="1817" customHeight="1" spans="1:4">
      <c r="A1817" s="27"/>
      <c r="B1817" s="28"/>
      <c r="C1817" s="28"/>
      <c r="D1817" s="28"/>
    </row>
    <row r="1818" customHeight="1" spans="1:4">
      <c r="A1818" s="27"/>
      <c r="B1818" s="28"/>
      <c r="C1818" s="28"/>
      <c r="D1818" s="28"/>
    </row>
    <row r="1819" customHeight="1" spans="1:4">
      <c r="A1819" s="27"/>
      <c r="B1819" s="28"/>
      <c r="C1819" s="28"/>
      <c r="D1819" s="28"/>
    </row>
    <row r="1820" customHeight="1" spans="1:4">
      <c r="A1820" s="27"/>
      <c r="B1820" s="28"/>
      <c r="C1820" s="28"/>
      <c r="D1820" s="28"/>
    </row>
    <row r="1821" customHeight="1" spans="1:4">
      <c r="A1821" s="27"/>
      <c r="B1821" s="28"/>
      <c r="C1821" s="28"/>
      <c r="D1821" s="28"/>
    </row>
    <row r="1822" customHeight="1" spans="1:4">
      <c r="A1822" s="27"/>
      <c r="B1822" s="28"/>
      <c r="C1822" s="28"/>
      <c r="D1822" s="28"/>
    </row>
    <row r="1823" customHeight="1" spans="1:4">
      <c r="A1823" s="27"/>
      <c r="B1823" s="28"/>
      <c r="C1823" s="28"/>
      <c r="D1823" s="28"/>
    </row>
    <row r="1824" customHeight="1" spans="1:4">
      <c r="A1824" s="27"/>
      <c r="B1824" s="28"/>
      <c r="C1824" s="28"/>
      <c r="D1824" s="28"/>
    </row>
    <row r="1825" customHeight="1" spans="1:4">
      <c r="A1825" s="27"/>
      <c r="B1825" s="28"/>
      <c r="C1825" s="28"/>
      <c r="D1825" s="28"/>
    </row>
    <row r="1826" customHeight="1" spans="1:4">
      <c r="A1826" s="27"/>
      <c r="B1826" s="28"/>
      <c r="C1826" s="28"/>
      <c r="D1826" s="28"/>
    </row>
    <row r="1827" customHeight="1" spans="1:4">
      <c r="A1827" s="27"/>
      <c r="B1827" s="28"/>
      <c r="C1827" s="28"/>
      <c r="D1827" s="28"/>
    </row>
    <row r="1828" customHeight="1" spans="1:4">
      <c r="A1828" s="27"/>
      <c r="B1828" s="28"/>
      <c r="C1828" s="28"/>
      <c r="D1828" s="28"/>
    </row>
    <row r="1829" customHeight="1" spans="1:4">
      <c r="A1829" s="27"/>
      <c r="B1829" s="28"/>
      <c r="C1829" s="28"/>
      <c r="D1829" s="28"/>
    </row>
    <row r="1830" customHeight="1" spans="1:4">
      <c r="A1830" s="27"/>
      <c r="B1830" s="28"/>
      <c r="C1830" s="28"/>
      <c r="D1830" s="28"/>
    </row>
    <row r="1831" customHeight="1" spans="1:4">
      <c r="A1831" s="27"/>
      <c r="B1831" s="28"/>
      <c r="C1831" s="28"/>
      <c r="D1831" s="28"/>
    </row>
    <row r="1832" customHeight="1" spans="1:4">
      <c r="A1832" s="27"/>
      <c r="B1832" s="28"/>
      <c r="C1832" s="28"/>
      <c r="D1832" s="28"/>
    </row>
    <row r="1833" customHeight="1" spans="1:4">
      <c r="A1833" s="27"/>
      <c r="B1833" s="28"/>
      <c r="C1833" s="28"/>
      <c r="D1833" s="28"/>
    </row>
    <row r="1834" customHeight="1" spans="1:4">
      <c r="A1834" s="27"/>
      <c r="B1834" s="28"/>
      <c r="C1834" s="28"/>
      <c r="D1834" s="28"/>
    </row>
    <row r="1835" customHeight="1" spans="1:4">
      <c r="A1835" s="27"/>
      <c r="B1835" s="28"/>
      <c r="C1835" s="28"/>
      <c r="D1835" s="28"/>
    </row>
    <row r="1836" customHeight="1" spans="1:4">
      <c r="A1836" s="27"/>
      <c r="B1836" s="28"/>
      <c r="C1836" s="28"/>
      <c r="D1836" s="28"/>
    </row>
    <row r="1837" customHeight="1" spans="1:4">
      <c r="A1837" s="27"/>
      <c r="B1837" s="28"/>
      <c r="C1837" s="28"/>
      <c r="D1837" s="28"/>
    </row>
    <row r="1838" customHeight="1" spans="1:4">
      <c r="A1838" s="27"/>
      <c r="B1838" s="28"/>
      <c r="C1838" s="28"/>
      <c r="D1838" s="28"/>
    </row>
    <row r="1839" customHeight="1" spans="1:4">
      <c r="A1839" s="27"/>
      <c r="B1839" s="28"/>
      <c r="C1839" s="28"/>
      <c r="D1839" s="28"/>
    </row>
    <row r="1840" customHeight="1" spans="1:4">
      <c r="A1840" s="27"/>
      <c r="B1840" s="28"/>
      <c r="C1840" s="28"/>
      <c r="D1840" s="28"/>
    </row>
    <row r="1841" customHeight="1" spans="1:4">
      <c r="A1841" s="27"/>
      <c r="B1841" s="28"/>
      <c r="C1841" s="28"/>
      <c r="D1841" s="28"/>
    </row>
    <row r="1842" customHeight="1" spans="1:4">
      <c r="A1842" s="27"/>
      <c r="B1842" s="28"/>
      <c r="C1842" s="28"/>
      <c r="D1842" s="28"/>
    </row>
    <row r="1843" customHeight="1" spans="1:4">
      <c r="A1843" s="27"/>
      <c r="B1843" s="28"/>
      <c r="C1843" s="28"/>
      <c r="D1843" s="28"/>
    </row>
    <row r="1844" customHeight="1" spans="1:4">
      <c r="A1844" s="27"/>
      <c r="B1844" s="28"/>
      <c r="C1844" s="28"/>
      <c r="D1844" s="28"/>
    </row>
    <row r="1845" customHeight="1" spans="1:4">
      <c r="A1845" s="27"/>
      <c r="B1845" s="28"/>
      <c r="C1845" s="28"/>
      <c r="D1845" s="28"/>
    </row>
    <row r="1846" customHeight="1" spans="1:4">
      <c r="A1846" s="27"/>
      <c r="B1846" s="28"/>
      <c r="C1846" s="28"/>
      <c r="D1846" s="28"/>
    </row>
    <row r="1847" customHeight="1" spans="1:4">
      <c r="A1847" s="27"/>
      <c r="B1847" s="28"/>
      <c r="C1847" s="28"/>
      <c r="D1847" s="28"/>
    </row>
    <row r="1848" customHeight="1" spans="1:4">
      <c r="A1848" s="27"/>
      <c r="B1848" s="28"/>
      <c r="C1848" s="28"/>
      <c r="D1848" s="28"/>
    </row>
    <row r="1849" customHeight="1" spans="1:4">
      <c r="A1849" s="27"/>
      <c r="B1849" s="28"/>
      <c r="C1849" s="28"/>
      <c r="D1849" s="28"/>
    </row>
    <row r="1850" customHeight="1" spans="1:4">
      <c r="A1850" s="27"/>
      <c r="B1850" s="28"/>
      <c r="C1850" s="28"/>
      <c r="D1850" s="28"/>
    </row>
    <row r="1851" customHeight="1" spans="1:4">
      <c r="A1851" s="27"/>
      <c r="B1851" s="28"/>
      <c r="C1851" s="28"/>
      <c r="D1851" s="28"/>
    </row>
    <row r="1852" customHeight="1" spans="1:4">
      <c r="A1852" s="27"/>
      <c r="B1852" s="28"/>
      <c r="C1852" s="28"/>
      <c r="D1852" s="28"/>
    </row>
    <row r="1853" customHeight="1" spans="1:4">
      <c r="A1853" s="27"/>
      <c r="B1853" s="28"/>
      <c r="C1853" s="28"/>
      <c r="D1853" s="28"/>
    </row>
    <row r="1854" customHeight="1" spans="1:4">
      <c r="A1854" s="27"/>
      <c r="B1854" s="28"/>
      <c r="C1854" s="28"/>
      <c r="D1854" s="28"/>
    </row>
    <row r="1855" customHeight="1" spans="1:4">
      <c r="A1855" s="27"/>
      <c r="B1855" s="28"/>
      <c r="C1855" s="28"/>
      <c r="D1855" s="28"/>
    </row>
    <row r="1856" customHeight="1" spans="1:4">
      <c r="A1856" s="27"/>
      <c r="B1856" s="28"/>
      <c r="C1856" s="28"/>
      <c r="D1856" s="28"/>
    </row>
    <row r="1857" customHeight="1" spans="1:4">
      <c r="A1857" s="27"/>
      <c r="B1857" s="28"/>
      <c r="C1857" s="28"/>
      <c r="D1857" s="28"/>
    </row>
    <row r="1858" customHeight="1" spans="1:4">
      <c r="A1858" s="27"/>
      <c r="B1858" s="28"/>
      <c r="C1858" s="28"/>
      <c r="D1858" s="28"/>
    </row>
    <row r="1859" customHeight="1" spans="1:4">
      <c r="A1859" s="27"/>
      <c r="B1859" s="28"/>
      <c r="C1859" s="28"/>
      <c r="D1859" s="28"/>
    </row>
    <row r="1860" customHeight="1" spans="1:4">
      <c r="A1860" s="27"/>
      <c r="B1860" s="28"/>
      <c r="C1860" s="28"/>
      <c r="D1860" s="28"/>
    </row>
    <row r="1861" customHeight="1" spans="1:4">
      <c r="A1861" s="27"/>
      <c r="B1861" s="28"/>
      <c r="C1861" s="28"/>
      <c r="D1861" s="28"/>
    </row>
    <row r="1862" customHeight="1" spans="1:4">
      <c r="A1862" s="27"/>
      <c r="B1862" s="28"/>
      <c r="C1862" s="28"/>
      <c r="D1862" s="28"/>
    </row>
    <row r="1863" customHeight="1" spans="1:4">
      <c r="A1863" s="27"/>
      <c r="B1863" s="28"/>
      <c r="C1863" s="28"/>
      <c r="D1863" s="28"/>
    </row>
    <row r="1864" customHeight="1" spans="1:4">
      <c r="A1864" s="27"/>
      <c r="B1864" s="28"/>
      <c r="C1864" s="28"/>
      <c r="D1864" s="28"/>
    </row>
    <row r="1865" customHeight="1" spans="1:4">
      <c r="A1865" s="27"/>
      <c r="B1865" s="28"/>
      <c r="C1865" s="28"/>
      <c r="D1865" s="28"/>
    </row>
    <row r="1866" customHeight="1" spans="1:4">
      <c r="A1866" s="27"/>
      <c r="B1866" s="28"/>
      <c r="C1866" s="28"/>
      <c r="D1866" s="28"/>
    </row>
    <row r="1867" customHeight="1" spans="1:4">
      <c r="A1867" s="27"/>
      <c r="B1867" s="28"/>
      <c r="C1867" s="28"/>
      <c r="D1867" s="28"/>
    </row>
    <row r="1868" customHeight="1" spans="1:4">
      <c r="A1868" s="27"/>
      <c r="B1868" s="28"/>
      <c r="C1868" s="28"/>
      <c r="D1868" s="28"/>
    </row>
    <row r="1869" customHeight="1" spans="1:4">
      <c r="A1869" s="27"/>
      <c r="B1869" s="28"/>
      <c r="C1869" s="28"/>
      <c r="D1869" s="28"/>
    </row>
    <row r="1870" customHeight="1" spans="1:4">
      <c r="A1870" s="27"/>
      <c r="B1870" s="28"/>
      <c r="C1870" s="28"/>
      <c r="D1870" s="28"/>
    </row>
    <row r="1871" customHeight="1" spans="1:4">
      <c r="A1871" s="27"/>
      <c r="B1871" s="28"/>
      <c r="C1871" s="28"/>
      <c r="D1871" s="28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40" workbookViewId="0">
      <selection activeCell="C2" sqref="A2:A67 C2:C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35" t="s">
        <v>28</v>
      </c>
      <c r="B1" s="28" t="s">
        <v>29</v>
      </c>
      <c r="C1" s="28" t="s">
        <v>30</v>
      </c>
      <c r="D1" s="28" t="s">
        <v>31</v>
      </c>
    </row>
    <row r="2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6">
        <f>IFERROR(__xludf.DUMMYFUNCTION("IMPORTRANGE(""https://docs.google.com/spreadsheets/d/1eaVzK6FcHCiSWH6vlneKycaHdBQH67V1d-FjgY0Xsl4/edit?gid=2039965616#gid=2039965616"",""报价汇总!g4:G500"")"),154.97350069735)</f>
        <v>154.97350069735</v>
      </c>
      <c r="C2" s="36">
        <f>IFERROR(__xludf.DUMMYFUNCTION("IMPORTRANGE(""https://docs.google.com/spreadsheets/d/1eaVzK6FcHCiSWH6vlneKycaHdBQH67V1d-FjgY0Xsl4/edit?gid=2039965616#gid=2039965616"",""报价汇总!H4:H500"")"),142.358744442331)</f>
        <v>142.358744442331</v>
      </c>
      <c r="D2" s="28" t="s">
        <v>37</v>
      </c>
    </row>
    <row r="3" ht="16.5" spans="1:11">
      <c r="A3" s="29" t="str">
        <f>IFERROR(__xludf.DUMMYFUNCTION("""COMPUTED_VALUE"""),"iPhone 11 128G")</f>
        <v>iPhone 11 128G</v>
      </c>
      <c r="B3" s="36">
        <f>IFERROR(__xludf.DUMMYFUNCTION("""COMPUTED_VALUE"""),183.079497907949)</f>
        <v>183.079497907949</v>
      </c>
      <c r="C3" s="36">
        <f>IFERROR(__xludf.DUMMYFUNCTION("""COMPUTED_VALUE"""),170.249059646675)</f>
        <v>170.249059646675</v>
      </c>
      <c r="D3" s="28" t="s">
        <v>37</v>
      </c>
      <c r="F3" s="37" t="s">
        <v>38</v>
      </c>
      <c r="G3" s="37"/>
      <c r="H3" s="37"/>
      <c r="I3" s="37"/>
      <c r="J3" s="37"/>
      <c r="K3" s="38"/>
    </row>
    <row r="4" ht="16.5" spans="1:11">
      <c r="A4" s="29" t="str">
        <f>IFERROR(__xludf.DUMMYFUNCTION("""COMPUTED_VALUE"""),"iPhone 11 256G")</f>
        <v>iPhone 11 256G</v>
      </c>
      <c r="B4" s="36">
        <f>IFERROR(__xludf.DUMMYFUNCTION("""COMPUTED_VALUE"""),191.28940027894)</f>
        <v>191.28940027894</v>
      </c>
      <c r="C4" s="36">
        <f>IFERROR(__xludf.DUMMYFUNCTION("""COMPUTED_VALUE"""),178.346411436541)</f>
        <v>178.346411436541</v>
      </c>
      <c r="D4" s="28" t="s">
        <v>37</v>
      </c>
      <c r="F4" s="38"/>
      <c r="G4" s="38"/>
      <c r="H4" s="38"/>
      <c r="I4" s="38"/>
      <c r="J4" s="38"/>
      <c r="K4" s="38"/>
    </row>
    <row r="5" spans="1:11">
      <c r="A5" s="29" t="str">
        <f>IFERROR(__xludf.DUMMYFUNCTION("""COMPUTED_VALUE"""),"iPhone 11 Pro 64G")</f>
        <v>iPhone 11 Pro 64G</v>
      </c>
      <c r="B5" s="36">
        <f>IFERROR(__xludf.DUMMYFUNCTION("""COMPUTED_VALUE"""),195.76290097629)</f>
        <v>195.76290097629</v>
      </c>
      <c r="C5" s="36">
        <f>IFERROR(__xludf.DUMMYFUNCTION("""COMPUTED_VALUE"""),182.78300906555)</f>
        <v>182.78300906555</v>
      </c>
      <c r="D5" s="28" t="s">
        <v>37</v>
      </c>
      <c r="F5" s="39" t="s">
        <v>34</v>
      </c>
      <c r="G5" s="32"/>
      <c r="H5" s="32"/>
      <c r="I5" s="32"/>
      <c r="J5" s="32"/>
      <c r="K5" s="32"/>
    </row>
    <row r="6" spans="1:11">
      <c r="A6" s="29" t="str">
        <f>IFERROR(__xludf.DUMMYFUNCTION("""COMPUTED_VALUE"""),"iPhone 11 Pro 256G")</f>
        <v>iPhone 11 Pro 256G</v>
      </c>
      <c r="B6" s="36">
        <f>IFERROR(__xludf.DUMMYFUNCTION("""COMPUTED_VALUE"""),225.105299860529)</f>
        <v>225.105299860529</v>
      </c>
      <c r="C6" s="36">
        <f>IFERROR(__xludf.DUMMYFUNCTION("""COMPUTED_VALUE"""),211.864121896792)</f>
        <v>211.864121896792</v>
      </c>
      <c r="D6" s="28" t="s">
        <v>37</v>
      </c>
      <c r="F6" s="32"/>
      <c r="G6" s="32"/>
      <c r="H6" s="32"/>
      <c r="I6" s="32"/>
      <c r="J6" s="32"/>
      <c r="K6" s="32"/>
    </row>
    <row r="7" spans="1:11">
      <c r="A7" s="29" t="str">
        <f>IFERROR(__xludf.DUMMYFUNCTION("""COMPUTED_VALUE"""),"iPhone 11 Pro 512G")</f>
        <v>iPhone 11 Pro 512G</v>
      </c>
      <c r="B7" s="36" t="str">
        <f>IFERROR(__xludf.DUMMYFUNCTION("""COMPUTED_VALUE"""),"")</f>
        <v/>
      </c>
      <c r="C7" s="36" t="str">
        <f>IFERROR(__xludf.DUMMYFUNCTION("""COMPUTED_VALUE"""),"")</f>
        <v/>
      </c>
      <c r="D7" s="28" t="s">
        <v>37</v>
      </c>
      <c r="F7" s="32"/>
      <c r="G7" s="32"/>
      <c r="H7" s="32"/>
      <c r="I7" s="32"/>
      <c r="J7" s="32"/>
      <c r="K7" s="32"/>
    </row>
    <row r="8" spans="1:11">
      <c r="A8" s="29" t="str">
        <f>IFERROR(__xludf.DUMMYFUNCTION("""COMPUTED_VALUE"""),"iPhone 11 Pro Max 64G")</f>
        <v>iPhone 11 Pro Max 64G</v>
      </c>
      <c r="B8" s="36">
        <f>IFERROR(__xludf.DUMMYFUNCTION("""COMPUTED_VALUE"""),233.28940027894)</f>
        <v>233.28940027894</v>
      </c>
      <c r="C8" s="36">
        <f>IFERROR(__xludf.DUMMYFUNCTION("""COMPUTED_VALUE"""),219.960454393305)</f>
        <v>219.960454393305</v>
      </c>
      <c r="D8" s="28" t="s">
        <v>37</v>
      </c>
      <c r="F8" s="32"/>
      <c r="G8" s="32"/>
      <c r="H8" s="32"/>
      <c r="I8" s="32"/>
      <c r="J8" s="32"/>
      <c r="K8" s="32"/>
    </row>
    <row r="9" spans="1:11">
      <c r="A9" s="29" t="str">
        <f>IFERROR(__xludf.DUMMYFUNCTION("""COMPUTED_VALUE"""),"iPhone 11 Pro Max 256G")</f>
        <v>iPhone 11 Pro Max 256G</v>
      </c>
      <c r="B9" s="36">
        <f>IFERROR(__xludf.DUMMYFUNCTION("""COMPUTED_VALUE"""),247.26290097629)</f>
        <v>247.26290097629</v>
      </c>
      <c r="C9" s="36">
        <f>IFERROR(__xludf.DUMMYFUNCTION("""COMPUTED_VALUE"""),233.726830543933)</f>
        <v>233.726830543933</v>
      </c>
      <c r="D9" s="28" t="s">
        <v>37</v>
      </c>
      <c r="F9" s="32"/>
      <c r="G9" s="32"/>
      <c r="H9" s="32"/>
      <c r="I9" s="32"/>
      <c r="J9" s="32"/>
      <c r="K9" s="32"/>
    </row>
    <row r="10" spans="1:11">
      <c r="A10" s="29" t="str">
        <f>IFERROR(__xludf.DUMMYFUNCTION("""COMPUTED_VALUE"""),"iPhone 11 Pro Max 512G")</f>
        <v>iPhone 11 Pro Max 512G</v>
      </c>
      <c r="B10" s="36">
        <f>IFERROR(__xludf.DUMMYFUNCTION("""COMPUTED_VALUE"""),259.23640167364)</f>
        <v>259.23640167364</v>
      </c>
      <c r="C10" s="36">
        <f>IFERROR(__xludf.DUMMYFUNCTION("""COMPUTED_VALUE"""),245.541297187354)</f>
        <v>245.541297187354</v>
      </c>
      <c r="D10" s="28" t="s">
        <v>37</v>
      </c>
      <c r="F10" s="32"/>
      <c r="G10" s="32"/>
      <c r="H10" s="32"/>
      <c r="I10" s="32"/>
      <c r="J10" s="32"/>
      <c r="K10" s="32"/>
    </row>
    <row r="11" spans="1:11">
      <c r="A11" s="29" t="str">
        <f>IFERROR(__xludf.DUMMYFUNCTION("""COMPUTED_VALUE"""),"iPhone 12 64G")</f>
        <v>iPhone 12 64G</v>
      </c>
      <c r="B11" s="36">
        <f>IFERROR(__xludf.DUMMYFUNCTION("""COMPUTED_VALUE"""),181.76290097629)</f>
        <v>181.76290097629</v>
      </c>
      <c r="C11" s="36">
        <f>IFERROR(__xludf.DUMMYFUNCTION("""COMPUTED_VALUE"""),168.908590323437)</f>
        <v>168.908590323437</v>
      </c>
      <c r="D11" s="28" t="s">
        <v>37</v>
      </c>
      <c r="F11" s="32"/>
      <c r="G11" s="32"/>
      <c r="H11" s="32"/>
      <c r="I11" s="32"/>
      <c r="J11" s="32"/>
      <c r="K11" s="32"/>
    </row>
    <row r="12" spans="1:11">
      <c r="A12" s="29" t="str">
        <f>IFERROR(__xludf.DUMMYFUNCTION("""COMPUTED_VALUE"""),"iPhone 12 128G")</f>
        <v>iPhone 12 128G</v>
      </c>
      <c r="B12" s="36">
        <f>IFERROR(__xludf.DUMMYFUNCTION("""COMPUTED_VALUE"""),204.605299860529)</f>
        <v>204.605299860529</v>
      </c>
      <c r="C12" s="36">
        <f>IFERROR(__xludf.DUMMYFUNCTION("""COMPUTED_VALUE"""),191.515306155276)</f>
        <v>191.515306155276</v>
      </c>
      <c r="D12" s="28" t="s">
        <v>37</v>
      </c>
      <c r="F12" s="32"/>
      <c r="G12" s="32"/>
      <c r="H12" s="32"/>
      <c r="I12" s="32"/>
      <c r="J12" s="32"/>
      <c r="K12" s="32"/>
    </row>
    <row r="13" spans="1:11">
      <c r="A13" s="29" t="str">
        <f>IFERROR(__xludf.DUMMYFUNCTION("""COMPUTED_VALUE"""),"iPhone 12 256G")</f>
        <v>iPhone 12 256G</v>
      </c>
      <c r="B13" s="36">
        <f>IFERROR(__xludf.DUMMYFUNCTION("""COMPUTED_VALUE"""),219.01290097629)</f>
        <v>219.01290097629</v>
      </c>
      <c r="C13" s="36">
        <f>IFERROR(__xludf.DUMMYFUNCTION("""COMPUTED_VALUE"""),205.743276336587)</f>
        <v>205.743276336587</v>
      </c>
      <c r="D13" s="28" t="s">
        <v>37</v>
      </c>
      <c r="F13" s="32"/>
      <c r="G13" s="32"/>
      <c r="H13" s="32"/>
      <c r="I13" s="32"/>
      <c r="J13" s="32"/>
      <c r="K13" s="32"/>
    </row>
    <row r="14" spans="1:11">
      <c r="A14" s="29" t="str">
        <f>IFERROR(__xludf.DUMMYFUNCTION("""COMPUTED_VALUE"""),"iPhone 12 mini 64G")</f>
        <v>iPhone 12 mini 64G</v>
      </c>
      <c r="B14" s="36">
        <f>IFERROR(__xludf.DUMMYFUNCTION("""COMPUTED_VALUE"""),141.929567642956)</f>
        <v>141.929567642956</v>
      </c>
      <c r="C14" s="36">
        <f>IFERROR(__xludf.DUMMYFUNCTION("""COMPUTED_VALUE"""),129.450834728033)</f>
        <v>129.450834728033</v>
      </c>
      <c r="D14" s="28" t="s">
        <v>37</v>
      </c>
      <c r="F14" s="32"/>
      <c r="G14" s="32"/>
      <c r="H14" s="32"/>
      <c r="I14" s="32"/>
      <c r="J14" s="32"/>
      <c r="K14" s="32"/>
    </row>
    <row r="15" spans="1:11">
      <c r="A15" s="29" t="str">
        <f>IFERROR(__xludf.DUMMYFUNCTION("""COMPUTED_VALUE"""),"iPhone 12 mini 128G")</f>
        <v>iPhone 12 mini 128G</v>
      </c>
      <c r="B15" s="36">
        <f>IFERROR(__xludf.DUMMYFUNCTION("""COMPUTED_VALUE"""),156.535564853556)</f>
        <v>156.535564853556</v>
      </c>
      <c r="C15" s="36">
        <f>IFERROR(__xludf.DUMMYFUNCTION("""COMPUTED_VALUE"""),143.912192954651)</f>
        <v>143.912192954651</v>
      </c>
      <c r="D15" s="28" t="s">
        <v>37</v>
      </c>
      <c r="F15" s="32"/>
      <c r="G15" s="32"/>
      <c r="H15" s="32"/>
      <c r="I15" s="32"/>
      <c r="J15" s="32"/>
      <c r="K15" s="32"/>
    </row>
    <row r="16" spans="1:4">
      <c r="A16" s="29" t="str">
        <f>IFERROR(__xludf.DUMMYFUNCTION("""COMPUTED_VALUE"""),"iPhone 12 mini 256G")</f>
        <v>iPhone 12 mini 256G</v>
      </c>
      <c r="B16" s="36">
        <f>IFERROR(__xludf.DUMMYFUNCTION("""COMPUTED_VALUE"""),178.73640167364)</f>
        <v>178.73640167364</v>
      </c>
      <c r="C16" s="36">
        <f>IFERROR(__xludf.DUMMYFUNCTION("""COMPUTED_VALUE"""),165.932586404994)</f>
        <v>165.932586404994</v>
      </c>
      <c r="D16" s="28" t="s">
        <v>37</v>
      </c>
    </row>
    <row r="17" spans="1:4">
      <c r="A17" s="29" t="str">
        <f>IFERROR(__xludf.DUMMYFUNCTION("""COMPUTED_VALUE"""),"iPhone 12 Pro 128G")</f>
        <v>iPhone 12 Pro 128G</v>
      </c>
      <c r="B17" s="36">
        <f>IFERROR(__xludf.DUMMYFUNCTION("""COMPUTED_VALUE"""),265.81589958159)</f>
        <v>265.81589958159</v>
      </c>
      <c r="C17" s="36">
        <f>IFERROR(__xludf.DUMMYFUNCTION("""COMPUTED_VALUE"""),252.136127449027)</f>
        <v>252.136127449027</v>
      </c>
      <c r="D17" s="28" t="s">
        <v>37</v>
      </c>
    </row>
    <row r="18" spans="1:4">
      <c r="A18" s="29" t="str">
        <f>IFERROR(__xludf.DUMMYFUNCTION("""COMPUTED_VALUE"""),"iPhone 12 Pro 256G")</f>
        <v>iPhone 12 Pro 256G</v>
      </c>
      <c r="B18" s="36">
        <f>IFERROR(__xludf.DUMMYFUNCTION("""COMPUTED_VALUE"""),287.342398884239)</f>
        <v>287.342398884239</v>
      </c>
      <c r="C18" s="36">
        <f>IFERROR(__xludf.DUMMYFUNCTION("""COMPUTED_VALUE"""),273.493390574151)</f>
        <v>273.493390574151</v>
      </c>
      <c r="D18" s="28" t="s">
        <v>37</v>
      </c>
    </row>
    <row r="19" spans="1:4">
      <c r="A19" s="29" t="str">
        <f>IFERROR(__xludf.DUMMYFUNCTION("""COMPUTED_VALUE"""),"iPhone 12 Pro 512G")</f>
        <v>iPhone 12 Pro 512G</v>
      </c>
      <c r="B19" s="36">
        <f>IFERROR(__xludf.DUMMYFUNCTION("""COMPUTED_VALUE"""),291.53940027894)</f>
        <v>291.53940027894</v>
      </c>
      <c r="C19" s="36">
        <f>IFERROR(__xludf.DUMMYFUNCTION("""COMPUTED_VALUE"""),277.571327336122)</f>
        <v>277.571327336122</v>
      </c>
      <c r="D19" s="28" t="s">
        <v>37</v>
      </c>
    </row>
    <row r="20" spans="1:4">
      <c r="A20" s="29" t="str">
        <f>IFERROR(__xludf.DUMMYFUNCTION("""COMPUTED_VALUE"""),"iPhone 12 Pro Max 128G")</f>
        <v>iPhone 12 Pro Max 128G</v>
      </c>
      <c r="B20" s="36">
        <f>IFERROR(__xludf.DUMMYFUNCTION("""COMPUTED_VALUE"""),348.493624932947)</f>
        <v>348.493624932947</v>
      </c>
      <c r="C20" s="36">
        <f>IFERROR(__xludf.DUMMYFUNCTION("""COMPUTED_VALUE"""),333.921482172871)</f>
        <v>333.921482172871</v>
      </c>
      <c r="D20" s="28" t="s">
        <v>37</v>
      </c>
    </row>
    <row r="21" spans="1:4">
      <c r="A21" s="29" t="str">
        <f>IFERROR(__xludf.DUMMYFUNCTION("""COMPUTED_VALUE"""),"iPhone 12 Pro Max 256G")</f>
        <v>iPhone 12 Pro Max 256G</v>
      </c>
      <c r="B21" s="36">
        <f>IFERROR(__xludf.DUMMYFUNCTION("""COMPUTED_VALUE"""),368.267797958666)</f>
        <v>368.267797958666</v>
      </c>
      <c r="C21" s="36">
        <f>IFERROR(__xludf.DUMMYFUNCTION("""COMPUTED_VALUE"""),353.520930856684)</f>
        <v>353.520930856684</v>
      </c>
      <c r="D21" s="28" t="s">
        <v>37</v>
      </c>
    </row>
    <row r="22" spans="1:4">
      <c r="A22" s="29" t="str">
        <f>IFERROR(__xludf.DUMMYFUNCTION("""COMPUTED_VALUE"""),"iPhone 12 Pro Max 512G")</f>
        <v>iPhone 12 Pro Max 512G</v>
      </c>
      <c r="B22" s="36">
        <f>IFERROR(__xludf.DUMMYFUNCTION("""COMPUTED_VALUE"""),380.857242677824)</f>
        <v>380.857242677824</v>
      </c>
      <c r="C22" s="36">
        <f>IFERROR(__xludf.DUMMYFUNCTION("""COMPUTED_VALUE"""),365.966427708042)</f>
        <v>365.966427708042</v>
      </c>
      <c r="D22" s="28" t="s">
        <v>37</v>
      </c>
    </row>
    <row r="23" spans="1:4">
      <c r="A23" s="29" t="str">
        <f>IFERROR(__xludf.DUMMYFUNCTION("""COMPUTED_VALUE"""),"iPhone 13 128G")</f>
        <v>iPhone 13 128G</v>
      </c>
      <c r="B23" s="36">
        <f>IFERROR(__xludf.DUMMYFUNCTION("""COMPUTED_VALUE"""),282.28940027894)</f>
        <v>282.28940027894</v>
      </c>
      <c r="C23" s="36">
        <f>IFERROR(__xludf.DUMMYFUNCTION("""COMPUTED_VALUE"""),268.39499103865)</f>
        <v>268.39499103865</v>
      </c>
      <c r="D23" s="28" t="s">
        <v>37</v>
      </c>
    </row>
    <row r="24" spans="1:4">
      <c r="A24" s="29" t="str">
        <f>IFERROR(__xludf.DUMMYFUNCTION("""COMPUTED_VALUE"""),"iPhone 13 256G")</f>
        <v>iPhone 13 256G</v>
      </c>
      <c r="B24" s="36">
        <f>IFERROR(__xludf.DUMMYFUNCTION("""COMPUTED_VALUE"""),306.26290097629)</f>
        <v>306.26290097629</v>
      </c>
      <c r="C24" s="36">
        <f>IFERROR(__xludf.DUMMYFUNCTION("""COMPUTED_VALUE"""),292.187519924287)</f>
        <v>292.187519924287</v>
      </c>
      <c r="D24" s="28" t="s">
        <v>37</v>
      </c>
    </row>
    <row r="25" spans="1:4">
      <c r="A25" s="29" t="str">
        <f>IFERROR(__xludf.DUMMYFUNCTION("""COMPUTED_VALUE"""),"iPhone 13 512G")</f>
        <v>iPhone 13 512G</v>
      </c>
      <c r="B25" s="36" t="str">
        <f>IFERROR(__xludf.DUMMYFUNCTION("""COMPUTED_VALUE"""),"")</f>
        <v/>
      </c>
      <c r="C25" s="36" t="str">
        <f>IFERROR(__xludf.DUMMYFUNCTION("""COMPUTED_VALUE"""),"")</f>
        <v/>
      </c>
      <c r="D25" s="28" t="s">
        <v>37</v>
      </c>
    </row>
    <row r="26" spans="1:4">
      <c r="A26" s="29" t="str">
        <f>IFERROR(__xludf.DUMMYFUNCTION("""COMPUTED_VALUE"""),"iPhone 13 mini 128G")</f>
        <v>iPhone 13 mini 128G</v>
      </c>
      <c r="B26" s="36">
        <f>IFERROR(__xludf.DUMMYFUNCTION("""COMPUTED_VALUE"""),223.78940027894)</f>
        <v>223.78940027894</v>
      </c>
      <c r="C26" s="36">
        <f>IFERROR(__xludf.DUMMYFUNCTION("""COMPUTED_VALUE"""),210.464852897876)</f>
        <v>210.464852897876</v>
      </c>
      <c r="D26" s="28" t="s">
        <v>37</v>
      </c>
    </row>
    <row r="27" spans="1:4">
      <c r="A27" s="29" t="str">
        <f>IFERROR(__xludf.DUMMYFUNCTION("""COMPUTED_VALUE"""),"iPhone 13 mini 256G")</f>
        <v>iPhone 13 mini 256G</v>
      </c>
      <c r="B27" s="36">
        <f>IFERROR(__xludf.DUMMYFUNCTION("""COMPUTED_VALUE"""),249.987099023709)</f>
        <v>249.987099023709</v>
      </c>
      <c r="C27" s="36">
        <f>IFERROR(__xludf.DUMMYFUNCTION("""COMPUTED_VALUE"""),236.422905073221)</f>
        <v>236.422905073221</v>
      </c>
      <c r="D27" s="28" t="s">
        <v>37</v>
      </c>
    </row>
    <row r="28" spans="1:4">
      <c r="A28" s="29" t="str">
        <f>IFERROR(__xludf.DUMMYFUNCTION("""COMPUTED_VALUE"""),"iPhone 13 mini 512G")</f>
        <v>iPhone 13 mini 512G</v>
      </c>
      <c r="B28" s="36">
        <f>IFERROR(__xludf.DUMMYFUNCTION("""COMPUTED_VALUE"""),285.56589958159)</f>
        <v>285.56589958159</v>
      </c>
      <c r="C28" s="36">
        <f>IFERROR(__xludf.DUMMYFUNCTION("""COMPUTED_VALUE"""),271.705015690376)</f>
        <v>271.705015690376</v>
      </c>
      <c r="D28" s="28" t="s">
        <v>37</v>
      </c>
    </row>
    <row r="29" spans="1:4">
      <c r="A29" s="29" t="str">
        <f>IFERROR(__xludf.DUMMYFUNCTION("""COMPUTED_VALUE"""),"iPhone 13 Pro 128G")</f>
        <v>iPhone 13 Pro 128G</v>
      </c>
      <c r="B29" s="36">
        <f>IFERROR(__xludf.DUMMYFUNCTION("""COMPUTED_VALUE"""),389.740950488145)</f>
        <v>389.740950488145</v>
      </c>
      <c r="C29" s="36">
        <f>IFERROR(__xludf.DUMMYFUNCTION("""COMPUTED_VALUE"""),374.845198977219)</f>
        <v>374.845198977219</v>
      </c>
      <c r="D29" s="28" t="s">
        <v>37</v>
      </c>
    </row>
    <row r="30" spans="1:4">
      <c r="A30" s="29" t="str">
        <f>IFERROR(__xludf.DUMMYFUNCTION("""COMPUTED_VALUE"""),"iPhone 13 Pro 256G")</f>
        <v>iPhone 13 Pro 256G</v>
      </c>
      <c r="B30" s="36">
        <f>IFERROR(__xludf.DUMMYFUNCTION("""COMPUTED_VALUE"""),419.698867547071)</f>
        <v>419.698867547071</v>
      </c>
      <c r="C30" s="36">
        <f>IFERROR(__xludf.DUMMYFUNCTION("""COMPUTED_VALUE"""),404.49264345072)</f>
        <v>404.49264345072</v>
      </c>
      <c r="D30" s="28" t="s">
        <v>37</v>
      </c>
    </row>
    <row r="31" spans="1:4">
      <c r="A31" s="29" t="str">
        <f>IFERROR(__xludf.DUMMYFUNCTION("""COMPUTED_VALUE"""),"iPhone 13 Pro 512G")</f>
        <v>iPhone 13 Pro 512G</v>
      </c>
      <c r="B31" s="36">
        <f>IFERROR(__xludf.DUMMYFUNCTION("""COMPUTED_VALUE"""),436.333747052111)</f>
        <v>436.333747052111</v>
      </c>
      <c r="C31" s="36">
        <f>IFERROR(__xludf.DUMMYFUNCTION("""COMPUTED_VALUE"""),420.88939715143)</f>
        <v>420.88939715143</v>
      </c>
      <c r="D31" s="28" t="s">
        <v>37</v>
      </c>
    </row>
    <row r="32" spans="1:4">
      <c r="A32" s="29" t="str">
        <f>IFERROR(__xludf.DUMMYFUNCTION("""COMPUTED_VALUE"""),"iPhone 13 Pro 1T")</f>
        <v>iPhone 13 Pro 1T</v>
      </c>
      <c r="B32" s="36">
        <f>IFERROR(__xludf.DUMMYFUNCTION("""COMPUTED_VALUE"""),444.810326080892)</f>
        <v>444.810326080892</v>
      </c>
      <c r="C32" s="36">
        <f>IFERROR(__xludf.DUMMYFUNCTION("""COMPUTED_VALUE"""),429.272783635518)</f>
        <v>429.272783635518</v>
      </c>
      <c r="D32" s="28" t="s">
        <v>37</v>
      </c>
    </row>
    <row r="33" spans="1:4">
      <c r="A33" s="29" t="str">
        <f>IFERROR(__xludf.DUMMYFUNCTION("""COMPUTED_VALUE"""),"iPhone 13 Pro Max 128G")</f>
        <v>iPhone 13 Pro Max 128G</v>
      </c>
      <c r="B33" s="36">
        <f>IFERROR(__xludf.DUMMYFUNCTION("""COMPUTED_VALUE"""),450.178593444909)</f>
        <v>450.178593444909</v>
      </c>
      <c r="C33" s="36">
        <f>IFERROR(__xludf.DUMMYFUNCTION("""COMPUTED_VALUE"""),434.628127847512)</f>
        <v>434.628127847512</v>
      </c>
      <c r="D33" s="28" t="s">
        <v>37</v>
      </c>
    </row>
    <row r="34" spans="1:4">
      <c r="A34" s="29" t="str">
        <f>IFERROR(__xludf.DUMMYFUNCTION("""COMPUTED_VALUE"""),"iPhone 13 Pro Max 256G")</f>
        <v>iPhone 13 Pro Max 256G</v>
      </c>
      <c r="B34" s="36">
        <f>IFERROR(__xludf.DUMMYFUNCTION("""COMPUTED_VALUE"""),494.519695955369)</f>
        <v>494.519695955369</v>
      </c>
      <c r="C34" s="36">
        <f>IFERROR(__xludf.DUMMYFUNCTION("""COMPUTED_VALUE"""),478.623195722919)</f>
        <v>478.623195722919</v>
      </c>
      <c r="D34" s="28" t="s">
        <v>37</v>
      </c>
    </row>
    <row r="35" spans="1:4">
      <c r="A35" s="29" t="str">
        <f>IFERROR(__xludf.DUMMYFUNCTION("""COMPUTED_VALUE"""),"iPhone 13 Pro Max 512G")</f>
        <v>iPhone 13 Pro Max 512G</v>
      </c>
      <c r="B35" s="36">
        <f>IFERROR(__xludf.DUMMYFUNCTION("""COMPUTED_VALUE"""),509.241580731681)</f>
        <v>509.241580731681</v>
      </c>
      <c r="C35" s="36">
        <f>IFERROR(__xludf.DUMMYFUNCTION("""COMPUTED_VALUE"""),493.086786038694)</f>
        <v>493.086786038694</v>
      </c>
      <c r="D35" s="28" t="s">
        <v>37</v>
      </c>
    </row>
    <row r="36" spans="1:4">
      <c r="A36" s="29" t="str">
        <f>IFERROR(__xludf.DUMMYFUNCTION("""COMPUTED_VALUE"""),"iPhone 13 Pro Max 1T")</f>
        <v>iPhone 13 Pro Max 1T</v>
      </c>
      <c r="B36" s="36">
        <f>IFERROR(__xludf.DUMMYFUNCTION("""COMPUTED_VALUE"""),534.036612970711)</f>
        <v>534.036612970711</v>
      </c>
      <c r="C36" s="36">
        <f>IFERROR(__xludf.DUMMYFUNCTION("""COMPUTED_VALUE"""),517.673641562064)</f>
        <v>517.673641562064</v>
      </c>
      <c r="D36" s="28" t="s">
        <v>37</v>
      </c>
    </row>
    <row r="37" spans="1:4">
      <c r="A37" s="29" t="str">
        <f>IFERROR(__xludf.DUMMYFUNCTION("""COMPUTED_VALUE"""),"iPhone 14 128G")</f>
        <v>iPhone 14 128G</v>
      </c>
      <c r="B37" s="36">
        <f>IFERROR(__xludf.DUMMYFUNCTION("""COMPUTED_VALUE"""),333.31589958159)</f>
        <v>333.31589958159</v>
      </c>
      <c r="C37" s="36">
        <f>IFERROR(__xludf.DUMMYFUNCTION("""COMPUTED_VALUE"""),318.986665620641)</f>
        <v>318.986665620641</v>
      </c>
      <c r="D37" s="28" t="s">
        <v>37</v>
      </c>
    </row>
    <row r="38" spans="1:4">
      <c r="A38" s="29" t="str">
        <f>IFERROR(__xludf.DUMMYFUNCTION("""COMPUTED_VALUE"""),"iPhone 14 256G")</f>
        <v>iPhone 14 256G</v>
      </c>
      <c r="B38" s="36">
        <f>IFERROR(__xludf.DUMMYFUNCTION("""COMPUTED_VALUE"""),358.709762303247)</f>
        <v>358.709762303247</v>
      </c>
      <c r="C38" s="36">
        <f>IFERROR(__xludf.DUMMYFUNCTION("""COMPUTED_VALUE"""),344.157740187288)</f>
        <v>344.157740187288</v>
      </c>
      <c r="D38" s="28" t="s">
        <v>37</v>
      </c>
    </row>
    <row r="39" spans="1:4">
      <c r="A39" s="29" t="str">
        <f>IFERROR(__xludf.DUMMYFUNCTION("""COMPUTED_VALUE"""),"iPhone 14 512G")</f>
        <v>iPhone 14 512G</v>
      </c>
      <c r="B39" s="36">
        <f>IFERROR(__xludf.DUMMYFUNCTION("""COMPUTED_VALUE"""),380.534240760111)</f>
        <v>380.534240760111</v>
      </c>
      <c r="C39" s="36">
        <f>IFERROR(__xludf.DUMMYFUNCTION("""COMPUTED_VALUE"""),365.716225592747)</f>
        <v>365.716225592747</v>
      </c>
      <c r="D39" s="28" t="s">
        <v>37</v>
      </c>
    </row>
    <row r="40" spans="1:4">
      <c r="A40" s="29" t="str">
        <f>IFERROR(__xludf.DUMMYFUNCTION("""COMPUTED_VALUE"""),"iPhone 14 Plus 128G")</f>
        <v>iPhone 14 Plus 128G</v>
      </c>
      <c r="B40" s="36">
        <f>IFERROR(__xludf.DUMMYFUNCTION("""COMPUTED_VALUE"""),335.889463040446)</f>
        <v>335.889463040446</v>
      </c>
      <c r="C40" s="36">
        <f>IFERROR(__xludf.DUMMYFUNCTION("""COMPUTED_VALUE"""),321.435374244537)</f>
        <v>321.435374244537</v>
      </c>
      <c r="D40" s="28" t="s">
        <v>37</v>
      </c>
    </row>
    <row r="41" spans="1:4">
      <c r="A41" s="29" t="str">
        <f>IFERROR(__xludf.DUMMYFUNCTION("""COMPUTED_VALUE"""),"iPhone 14 Plus 256G")</f>
        <v>iPhone 14 Plus 256G</v>
      </c>
      <c r="B41" s="36">
        <f>IFERROR(__xludf.DUMMYFUNCTION("""COMPUTED_VALUE"""),370.279382416049)</f>
        <v>370.279382416049</v>
      </c>
      <c r="C41" s="36">
        <f>IFERROR(__xludf.DUMMYFUNCTION("""COMPUTED_VALUE"""),355.537486929156)</f>
        <v>355.537486929156</v>
      </c>
      <c r="D41" s="28" t="s">
        <v>37</v>
      </c>
    </row>
    <row r="42" spans="1:4">
      <c r="A42" s="29" t="str">
        <f>IFERROR(__xludf.DUMMYFUNCTION("""COMPUTED_VALUE"""),"iPhone 14 Plus 512G")</f>
        <v>iPhone 14 Plus 512G</v>
      </c>
      <c r="B42" s="36">
        <f>IFERROR(__xludf.DUMMYFUNCTION("""COMPUTED_VALUE"""),399.156173814504)</f>
        <v>399.156173814504</v>
      </c>
      <c r="C42" s="36">
        <f>IFERROR(__xludf.DUMMYFUNCTION("""COMPUTED_VALUE"""),384.113181427243)</f>
        <v>384.113181427243</v>
      </c>
      <c r="D42" s="28" t="s">
        <v>37</v>
      </c>
    </row>
    <row r="43" spans="1:4">
      <c r="A43" s="29" t="str">
        <f>IFERROR(__xludf.DUMMYFUNCTION("""COMPUTED_VALUE"""),"iPhone 14 Pro 128G")</f>
        <v>iPhone 14 Pro 128G</v>
      </c>
      <c r="B43" s="36">
        <f>IFERROR(__xludf.DUMMYFUNCTION("""COMPUTED_VALUE"""),506.564071914225)</f>
        <v>506.564071914225</v>
      </c>
      <c r="C43" s="36">
        <f>IFERROR(__xludf.DUMMYFUNCTION("""COMPUTED_VALUE"""),490.55178016039)</f>
        <v>490.55178016039</v>
      </c>
      <c r="D43" s="28" t="s">
        <v>37</v>
      </c>
    </row>
    <row r="44" spans="1:4">
      <c r="A44" s="29" t="str">
        <f>IFERROR(__xludf.DUMMYFUNCTION("""COMPUTED_VALUE"""),"iPhone 14 Pro 256G")</f>
        <v>iPhone 14 Pro 256G</v>
      </c>
      <c r="B44" s="36">
        <f>IFERROR(__xludf.DUMMYFUNCTION("""COMPUTED_VALUE"""),577.043279510587)</f>
        <v>577.043279510587</v>
      </c>
      <c r="C44" s="36">
        <f>IFERROR(__xludf.DUMMYFUNCTION("""COMPUTED_VALUE"""),560.537918557964)</f>
        <v>560.537918557964</v>
      </c>
      <c r="D44" s="28" t="s">
        <v>37</v>
      </c>
    </row>
    <row r="45" spans="1:4">
      <c r="A45" s="29" t="str">
        <f>IFERROR(__xludf.DUMMYFUNCTION("""COMPUTED_VALUE"""),"iPhone 14 Pro 512G")</f>
        <v>iPhone 14 Pro 512G</v>
      </c>
      <c r="B45" s="36">
        <f>IFERROR(__xludf.DUMMYFUNCTION("""COMPUTED_VALUE"""),586.353496513249)</f>
        <v>586.353496513249</v>
      </c>
      <c r="C45" s="36">
        <f>IFERROR(__xludf.DUMMYFUNCTION("""COMPUTED_VALUE"""),569.718230590423)</f>
        <v>569.718230590423</v>
      </c>
      <c r="D45" s="28" t="s">
        <v>37</v>
      </c>
    </row>
    <row r="46" spans="1:4">
      <c r="A46" s="29" t="str">
        <f>IFERROR(__xludf.DUMMYFUNCTION("""COMPUTED_VALUE"""),"iPhone 14 Pro 1T")</f>
        <v>iPhone 14 Pro 1T</v>
      </c>
      <c r="B46" s="36" t="str">
        <f>IFERROR(__xludf.DUMMYFUNCTION("""COMPUTED_VALUE"""),"")</f>
        <v/>
      </c>
      <c r="C46" s="36" t="str">
        <f>IFERROR(__xludf.DUMMYFUNCTION("""COMPUTED_VALUE"""),"")</f>
        <v/>
      </c>
      <c r="D46" s="28" t="s">
        <v>37</v>
      </c>
    </row>
    <row r="47" spans="1:4">
      <c r="A47" s="29" t="str">
        <f>IFERROR(__xludf.DUMMYFUNCTION("""COMPUTED_VALUE"""),"iPhone 14 Pro Max 128G")</f>
        <v>iPhone 14 Pro Max 128G</v>
      </c>
      <c r="B47" s="36">
        <f>IFERROR(__xludf.DUMMYFUNCTION("""COMPUTED_VALUE"""),597.745712970711)</f>
        <v>597.745712970711</v>
      </c>
      <c r="C47" s="36">
        <f>IFERROR(__xludf.DUMMYFUNCTION("""COMPUTED_VALUE"""),580.85720706648)</f>
        <v>580.85720706648</v>
      </c>
      <c r="D47" s="28" t="s">
        <v>37</v>
      </c>
    </row>
    <row r="48" spans="1:4">
      <c r="A48" s="29" t="str">
        <f>IFERROR(__xludf.DUMMYFUNCTION("""COMPUTED_VALUE"""),"iPhone 14 Pro Max 256G")</f>
        <v>iPhone 14 Pro Max 256G</v>
      </c>
      <c r="B48" s="36">
        <f>IFERROR(__xludf.DUMMYFUNCTION("""COMPUTED_VALUE"""),652.030983010016)</f>
        <v>652.030983010016</v>
      </c>
      <c r="C48" s="36">
        <f>IFERROR(__xludf.DUMMYFUNCTION("""COMPUTED_VALUE"""),634.705220658467)</f>
        <v>634.705220658467</v>
      </c>
      <c r="D48" s="28" t="s">
        <v>37</v>
      </c>
    </row>
    <row r="49" spans="1:4">
      <c r="A49" s="29" t="str">
        <f>IFERROR(__xludf.DUMMYFUNCTION("""COMPUTED_VALUE"""),"iPhone 14 Pro Max 512G")</f>
        <v>iPhone 14 Pro Max 512G</v>
      </c>
      <c r="B49" s="36">
        <f>IFERROR(__xludf.DUMMYFUNCTION("""COMPUTED_VALUE"""),678.044196187819)</f>
        <v>678.044196187819</v>
      </c>
      <c r="C49" s="36">
        <f>IFERROR(__xludf.DUMMYFUNCTION("""COMPUTED_VALUE"""),660.455196342786)</f>
        <v>660.455196342786</v>
      </c>
      <c r="D49" s="28" t="s">
        <v>37</v>
      </c>
    </row>
    <row r="50" spans="1:4">
      <c r="A50" s="29" t="str">
        <f>IFERROR(__xludf.DUMMYFUNCTION("""COMPUTED_VALUE"""),"iPhone 14 Pro Max 1T")</f>
        <v>iPhone 14 Pro Max 1T</v>
      </c>
      <c r="B50" s="36">
        <f>IFERROR(__xludf.DUMMYFUNCTION("""COMPUTED_VALUE"""),690.503617154811)</f>
        <v>690.503617154811</v>
      </c>
      <c r="C50" s="36">
        <f>IFERROR(__xludf.DUMMYFUNCTION("""COMPUTED_VALUE"""),672.704178056717)</f>
        <v>672.704178056717</v>
      </c>
      <c r="D50" s="28" t="s">
        <v>37</v>
      </c>
    </row>
    <row r="51" spans="1:4">
      <c r="A51" s="29" t="str">
        <f>IFERROR(__xludf.DUMMYFUNCTION("""COMPUTED_VALUE"""),"iPhone 15 128G")</f>
        <v>iPhone 15 128G</v>
      </c>
      <c r="B51" s="36">
        <f>IFERROR(__xludf.DUMMYFUNCTION("""COMPUTED_VALUE"""),489.19910041841)</f>
        <v>489.19910041841</v>
      </c>
      <c r="C51" s="36">
        <f>IFERROR(__xludf.DUMMYFUNCTION("""COMPUTED_VALUE"""),473.466299395629)</f>
        <v>473.466299395629</v>
      </c>
      <c r="D51" s="28" t="s">
        <v>37</v>
      </c>
    </row>
    <row r="52" spans="1:4">
      <c r="A52" s="29" t="str">
        <f>IFERROR(__xludf.DUMMYFUNCTION("""COMPUTED_VALUE"""),"iPhone 15 256G")</f>
        <v>iPhone 15 256G</v>
      </c>
      <c r="B52" s="36">
        <f>IFERROR(__xludf.DUMMYFUNCTION("""COMPUTED_VALUE"""),504.211698744769)</f>
        <v>504.211698744769</v>
      </c>
      <c r="C52" s="36">
        <f>IFERROR(__xludf.DUMMYFUNCTION("""COMPUTED_VALUE"""),488.167864249186)</f>
        <v>488.167864249186</v>
      </c>
      <c r="D52" s="28" t="s">
        <v>37</v>
      </c>
    </row>
    <row r="53" spans="1:4">
      <c r="A53" s="29" t="str">
        <f>IFERROR(__xludf.DUMMYFUNCTION("""COMPUTED_VALUE"""),"iPhone 15 512G")</f>
        <v>iPhone 15 512G</v>
      </c>
      <c r="B53" s="36" t="str">
        <f>IFERROR(__xludf.DUMMYFUNCTION("""COMPUTED_VALUE"""),"")</f>
        <v/>
      </c>
      <c r="C53" s="36" t="str">
        <f>IFERROR(__xludf.DUMMYFUNCTION("""COMPUTED_VALUE"""),"")</f>
        <v/>
      </c>
      <c r="D53" s="28" t="s">
        <v>37</v>
      </c>
    </row>
    <row r="54" spans="1:4">
      <c r="A54" s="29" t="str">
        <f>IFERROR(__xludf.DUMMYFUNCTION("""COMPUTED_VALUE"""),"iPhone 15 Plus 128G")</f>
        <v>iPhone 15 Plus 128G</v>
      </c>
      <c r="B54" s="36">
        <f>IFERROR(__xludf.DUMMYFUNCTION("""COMPUTED_VALUE"""),521.270339285714)</f>
        <v>521.270339285714</v>
      </c>
      <c r="C54" s="36">
        <f>IFERROR(__xludf.DUMMYFUNCTION("""COMPUTED_VALUE"""),505.189291741382)</f>
        <v>505.189291741382</v>
      </c>
      <c r="D54" s="28" t="s">
        <v>37</v>
      </c>
    </row>
    <row r="55" spans="1:4">
      <c r="A55" s="29" t="str">
        <f>IFERROR(__xludf.DUMMYFUNCTION("""COMPUTED_VALUE"""),"iPhone 15 Plus 256G")</f>
        <v>iPhone 15 Plus 256G</v>
      </c>
      <c r="B55" s="36" t="str">
        <f>IFERROR(__xludf.DUMMYFUNCTION("""COMPUTED_VALUE"""),"")</f>
        <v/>
      </c>
      <c r="C55" s="36" t="str">
        <f>IFERROR(__xludf.DUMMYFUNCTION("""COMPUTED_VALUE"""),"")</f>
        <v/>
      </c>
      <c r="D55" s="28" t="s">
        <v>37</v>
      </c>
    </row>
    <row r="56" spans="1:4">
      <c r="A56" s="29" t="str">
        <f>IFERROR(__xludf.DUMMYFUNCTION("""COMPUTED_VALUE"""),"iPhone 15 Plus 512G")</f>
        <v>iPhone 15 Plus 512G</v>
      </c>
      <c r="B56" s="36" t="str">
        <f>IFERROR(__xludf.DUMMYFUNCTION("""COMPUTED_VALUE"""),"")</f>
        <v/>
      </c>
      <c r="C56" s="36" t="str">
        <f>IFERROR(__xludf.DUMMYFUNCTION("""COMPUTED_VALUE"""),"")</f>
        <v/>
      </c>
      <c r="D56" s="28" t="s">
        <v>37</v>
      </c>
    </row>
    <row r="57" spans="1:4">
      <c r="A57" s="29" t="str">
        <f>IFERROR(__xludf.DUMMYFUNCTION("""COMPUTED_VALUE"""),"iPhone 15 Pro 128G")</f>
        <v>iPhone 15 Pro 128G</v>
      </c>
      <c r="B57" s="36">
        <f>IFERROR(__xludf.DUMMYFUNCTION("""COMPUTED_VALUE"""),696.801883327969)</f>
        <v>696.801883327969</v>
      </c>
      <c r="C57" s="36">
        <f>IFERROR(__xludf.DUMMYFUNCTION("""COMPUTED_VALUE"""),679.210321102885)</f>
        <v>679.210321102885</v>
      </c>
      <c r="D57" s="28" t="s">
        <v>37</v>
      </c>
    </row>
    <row r="58" spans="1:4">
      <c r="A58" s="29" t="str">
        <f>IFERROR(__xludf.DUMMYFUNCTION("""COMPUTED_VALUE"""),"iPhone 15 Pro 256G")</f>
        <v>iPhone 15 Pro 256G</v>
      </c>
      <c r="B58" s="36">
        <f>IFERROR(__xludf.DUMMYFUNCTION("""COMPUTED_VALUE"""),728.71747579199)</f>
        <v>728.71747579199</v>
      </c>
      <c r="C58" s="36">
        <f>IFERROR(__xludf.DUMMYFUNCTION("""COMPUTED_VALUE"""),710.811882978016)</f>
        <v>710.811882978016</v>
      </c>
      <c r="D58" s="28" t="s">
        <v>37</v>
      </c>
    </row>
    <row r="59" spans="1:4">
      <c r="A59" s="29" t="str">
        <f>IFERROR(__xludf.DUMMYFUNCTION("""COMPUTED_VALUE"""),"iPhone 15 Pro 512G")</f>
        <v>iPhone 15 Pro 512G</v>
      </c>
      <c r="B59" s="36">
        <f>IFERROR(__xludf.DUMMYFUNCTION("""COMPUTED_VALUE"""),761.143848575413)</f>
        <v>761.143848575413</v>
      </c>
      <c r="C59" s="36">
        <f>IFERROR(__xludf.DUMMYFUNCTION("""COMPUTED_VALUE"""),743.012798166965)</f>
        <v>743.012798166965</v>
      </c>
      <c r="D59" s="28" t="s">
        <v>37</v>
      </c>
    </row>
    <row r="60" spans="1:4">
      <c r="A60" s="29" t="str">
        <f>IFERROR(__xludf.DUMMYFUNCTION("""COMPUTED_VALUE"""),"iPhone 15 Pro 1T")</f>
        <v>iPhone 15 Pro 1T</v>
      </c>
      <c r="B60" s="36">
        <f>IFERROR(__xludf.DUMMYFUNCTION("""COMPUTED_VALUE"""),821.38870111576)</f>
        <v>821.38870111576</v>
      </c>
      <c r="C60" s="36">
        <f>IFERROR(__xludf.DUMMYFUNCTION("""COMPUTED_VALUE"""),802.702532496513)</f>
        <v>802.702532496513</v>
      </c>
      <c r="D60" s="28" t="s">
        <v>37</v>
      </c>
    </row>
    <row r="61" spans="1:4">
      <c r="A61" s="29" t="str">
        <f>IFERROR(__xludf.DUMMYFUNCTION("""COMPUTED_VALUE"""),"iPhone 15 Pro Max 256G")</f>
        <v>iPhone 15 Pro Max 256G</v>
      </c>
      <c r="B61" s="36">
        <f>IFERROR(__xludf.DUMMYFUNCTION("""COMPUTED_VALUE"""),839.033078103207)</f>
        <v>839.033078103207</v>
      </c>
      <c r="C61" s="36">
        <f>IFERROR(__xludf.DUMMYFUNCTION("""COMPUTED_VALUE"""),819.995785216178)</f>
        <v>819.995785216178</v>
      </c>
      <c r="D61" s="28" t="s">
        <v>37</v>
      </c>
    </row>
    <row r="62" spans="1:4">
      <c r="A62" s="29" t="str">
        <f>IFERROR(__xludf.DUMMYFUNCTION("""COMPUTED_VALUE"""),"iPhone 15 Pro Max 512G")</f>
        <v>iPhone 15 Pro Max 512G</v>
      </c>
      <c r="B62" s="36" t="str">
        <f>IFERROR(__xludf.DUMMYFUNCTION("""COMPUTED_VALUE"""),"")</f>
        <v/>
      </c>
      <c r="C62" s="36" t="str">
        <f>IFERROR(__xludf.DUMMYFUNCTION("""COMPUTED_VALUE"""),"")</f>
        <v/>
      </c>
      <c r="D62" s="28" t="s">
        <v>37</v>
      </c>
    </row>
    <row r="63" spans="1:4">
      <c r="A63" s="29" t="str">
        <f>IFERROR(__xludf.DUMMYFUNCTION("""COMPUTED_VALUE"""),"iPhone 15 Pro Max 1T")</f>
        <v>iPhone 15 Pro Max 1T</v>
      </c>
      <c r="B63" s="36">
        <f>IFERROR(__xludf.DUMMYFUNCTION("""COMPUTED_VALUE"""),874.56640237099)</f>
        <v>874.56640237099</v>
      </c>
      <c r="C63" s="36">
        <f>IFERROR(__xludf.DUMMYFUNCTION("""COMPUTED_VALUE"""),855.035667596466)</f>
        <v>855.035667596466</v>
      </c>
      <c r="D63" s="28" t="s">
        <v>37</v>
      </c>
    </row>
    <row r="64" spans="1:4">
      <c r="A64" s="29" t="str">
        <f>IFERROR(__xludf.DUMMYFUNCTION("""COMPUTED_VALUE"""),"iPhone 16 128G")</f>
        <v>iPhone 16 128G</v>
      </c>
      <c r="B64" s="36">
        <f>IFERROR(__xludf.DUMMYFUNCTION("""COMPUTED_VALUE"""),619.316175)</f>
        <v>619.316175</v>
      </c>
      <c r="C64" s="36">
        <f>IFERROR(__xludf.DUMMYFUNCTION("""COMPUTED_VALUE"""),602.219848884239)</f>
        <v>602.219848884239</v>
      </c>
      <c r="D64" s="28" t="s">
        <v>37</v>
      </c>
    </row>
    <row r="65" spans="1:4">
      <c r="A65" s="29" t="str">
        <f>IFERROR(__xludf.DUMMYFUNCTION("""COMPUTED_VALUE"""),"iPhone 16 256G")</f>
        <v>iPhone 16 256G</v>
      </c>
      <c r="B65" s="36">
        <f>IFERROR(__xludf.DUMMYFUNCTION("""COMPUTED_VALUE"""),651.470326923076)</f>
        <v>651.470326923076</v>
      </c>
      <c r="C65" s="36">
        <f>IFERROR(__xludf.DUMMYFUNCTION("""COMPUTED_VALUE"""),633.989283499624)</f>
        <v>633.989283499624</v>
      </c>
      <c r="D65" s="28" t="s">
        <v>37</v>
      </c>
    </row>
    <row r="66" spans="1:4">
      <c r="A66" s="29" t="str">
        <f>IFERROR(__xludf.DUMMYFUNCTION("""COMPUTED_VALUE"""),"iPhone 16 512G")</f>
        <v>iPhone 16 512G</v>
      </c>
      <c r="B66" s="36" t="str">
        <f>IFERROR(__xludf.DUMMYFUNCTION("""COMPUTED_VALUE"""),"")</f>
        <v/>
      </c>
      <c r="C66" s="36" t="str">
        <f>IFERROR(__xludf.DUMMYFUNCTION("""COMPUTED_VALUE"""),"")</f>
        <v/>
      </c>
      <c r="D66" s="28" t="s">
        <v>37</v>
      </c>
    </row>
    <row r="67" spans="1:4">
      <c r="A67" s="29" t="str">
        <f>IFERROR(__xludf.DUMMYFUNCTION("""COMPUTED_VALUE"""),"iPhone SE 3 128G")</f>
        <v>iPhone SE 3 128G</v>
      </c>
      <c r="B67" s="36">
        <f>IFERROR(__xludf.DUMMYFUNCTION("""COMPUTED_VALUE"""),164.68410041841)</f>
        <v>164.68410041841</v>
      </c>
      <c r="C67" s="36">
        <f>IFERROR(__xludf.DUMMYFUNCTION("""COMPUTED_VALUE"""),151.977287308228)</f>
        <v>151.977287308228</v>
      </c>
      <c r="D67" s="28" t="s">
        <v>37</v>
      </c>
    </row>
    <row r="68" customHeight="1" spans="1:4">
      <c r="A68" s="24"/>
      <c r="B68" s="24"/>
      <c r="C68" s="24"/>
      <c r="D68" s="40"/>
    </row>
    <row r="69" customHeight="1" spans="1:4">
      <c r="A69" s="24"/>
      <c r="B69" s="24"/>
      <c r="C69" s="24"/>
      <c r="D69" s="40"/>
    </row>
    <row r="70" customHeight="1" spans="1:4">
      <c r="A70" s="24"/>
      <c r="B70" s="24"/>
      <c r="C70" s="24"/>
      <c r="D70" s="40"/>
    </row>
    <row r="71" customHeight="1" spans="1:4">
      <c r="A71" s="24"/>
      <c r="B71" s="24"/>
      <c r="C71" s="24"/>
      <c r="D71" s="40"/>
    </row>
    <row r="72" customHeight="1" spans="1:4">
      <c r="A72" s="24"/>
      <c r="B72" s="24"/>
      <c r="C72" s="24"/>
      <c r="D72" s="40"/>
    </row>
    <row r="73" customHeight="1" spans="1:4">
      <c r="A73" s="24"/>
      <c r="B73" s="24"/>
      <c r="C73" s="24"/>
      <c r="D73" s="40"/>
    </row>
    <row r="74" customHeight="1" spans="1:4">
      <c r="A74" s="24"/>
      <c r="B74" s="24"/>
      <c r="C74" s="24"/>
      <c r="D74" s="40"/>
    </row>
    <row r="75" customHeight="1" spans="1:4">
      <c r="A75" s="24"/>
      <c r="B75" s="24"/>
      <c r="C75" s="24"/>
      <c r="D75" s="40"/>
    </row>
    <row r="76" customHeight="1" spans="1:4">
      <c r="A76" s="24"/>
      <c r="B76" s="24"/>
      <c r="C76" s="24"/>
      <c r="D76" s="40"/>
    </row>
    <row r="77" customHeight="1" spans="1:4">
      <c r="A77" s="24"/>
      <c r="B77" s="24"/>
      <c r="C77" s="24"/>
      <c r="D77" s="40"/>
    </row>
    <row r="78" customHeight="1" spans="1:4">
      <c r="A78" s="24"/>
      <c r="B78" s="24"/>
      <c r="C78" s="24"/>
      <c r="D78" s="40"/>
    </row>
    <row r="79" customHeight="1" spans="1:4">
      <c r="A79" s="24"/>
      <c r="B79" s="24"/>
      <c r="C79" s="24"/>
      <c r="D79" s="40"/>
    </row>
    <row r="80" customHeight="1" spans="1:4">
      <c r="A80" s="24"/>
      <c r="B80" s="24"/>
      <c r="C80" s="24"/>
      <c r="D80" s="40"/>
    </row>
    <row r="81" customHeight="1" spans="1:4">
      <c r="A81" s="24"/>
      <c r="B81" s="24"/>
      <c r="C81" s="24"/>
      <c r="D81" s="40"/>
    </row>
    <row r="82" customHeight="1" spans="1:4">
      <c r="A82" s="24"/>
      <c r="B82" s="24"/>
      <c r="C82" s="24"/>
      <c r="D82" s="40"/>
    </row>
    <row r="83" customHeight="1" spans="1:4">
      <c r="A83" s="24"/>
      <c r="B83" s="24"/>
      <c r="C83" s="24"/>
      <c r="D83" s="40"/>
    </row>
    <row r="84" customHeight="1" spans="1:4">
      <c r="A84" s="24"/>
      <c r="B84" s="24"/>
      <c r="C84" s="24"/>
      <c r="D84" s="40"/>
    </row>
    <row r="85" customHeight="1" spans="1:4">
      <c r="A85" s="24"/>
      <c r="B85" s="24"/>
      <c r="C85" s="24"/>
      <c r="D85" s="40"/>
    </row>
    <row r="86" customHeight="1" spans="1:4">
      <c r="A86" s="24"/>
      <c r="B86" s="24"/>
      <c r="C86" s="24"/>
      <c r="D86" s="40"/>
    </row>
    <row r="87" customHeight="1" spans="1:4">
      <c r="A87" s="24"/>
      <c r="B87" s="24"/>
      <c r="C87" s="24"/>
      <c r="D87" s="40"/>
    </row>
    <row r="88" customHeight="1" spans="1:4">
      <c r="A88" s="24"/>
      <c r="B88" s="24"/>
      <c r="C88" s="24"/>
      <c r="D88" s="40"/>
    </row>
    <row r="89" customHeight="1" spans="1:4">
      <c r="A89" s="24"/>
      <c r="B89" s="24"/>
      <c r="C89" s="24"/>
      <c r="D89" s="40"/>
    </row>
    <row r="90" customHeight="1" spans="1:4">
      <c r="A90" s="24"/>
      <c r="B90" s="24"/>
      <c r="C90" s="24"/>
      <c r="D90" s="40"/>
    </row>
    <row r="91" customHeight="1" spans="1:4">
      <c r="A91" s="24"/>
      <c r="B91" s="24"/>
      <c r="C91" s="24"/>
      <c r="D91" s="40"/>
    </row>
    <row r="92" customHeight="1" spans="1:4">
      <c r="A92" s="24"/>
      <c r="B92" s="24"/>
      <c r="C92" s="24"/>
      <c r="D92" s="40"/>
    </row>
    <row r="93" customHeight="1" spans="1:4">
      <c r="A93" s="24"/>
      <c r="B93" s="24"/>
      <c r="C93" s="24"/>
      <c r="D93" s="40"/>
    </row>
    <row r="94" customHeight="1" spans="1:4">
      <c r="A94" s="24"/>
      <c r="B94" s="24"/>
      <c r="C94" s="24"/>
      <c r="D94" s="40"/>
    </row>
    <row r="95" customHeight="1" spans="1:4">
      <c r="A95" s="24"/>
      <c r="B95" s="24"/>
      <c r="C95" s="24"/>
      <c r="D95" s="40"/>
    </row>
    <row r="96" customHeight="1" spans="1:4">
      <c r="A96" s="24"/>
      <c r="B96" s="24"/>
      <c r="C96" s="24"/>
      <c r="D96" s="40"/>
    </row>
    <row r="97" customHeight="1" spans="1:4">
      <c r="A97" s="24"/>
      <c r="B97" s="24"/>
      <c r="C97" s="24"/>
      <c r="D97" s="40"/>
    </row>
    <row r="98" customHeight="1" spans="1:4">
      <c r="A98" s="24"/>
      <c r="B98" s="24"/>
      <c r="C98" s="24"/>
      <c r="D98" s="40"/>
    </row>
    <row r="99" customHeight="1" spans="1:4">
      <c r="A99" s="24"/>
      <c r="B99" s="24"/>
      <c r="C99" s="24"/>
      <c r="D99" s="40"/>
    </row>
    <row r="100" customHeight="1" spans="1:4">
      <c r="A100" s="24"/>
      <c r="B100" s="24"/>
      <c r="C100" s="24"/>
      <c r="D100" s="40"/>
    </row>
    <row r="101" customHeight="1" spans="1:4">
      <c r="A101" s="24"/>
      <c r="B101" s="24"/>
      <c r="C101" s="24"/>
      <c r="D101" s="40"/>
    </row>
    <row r="102" customHeight="1" spans="1:4">
      <c r="A102" s="24"/>
      <c r="B102" s="24"/>
      <c r="C102" s="24"/>
      <c r="D102" s="40"/>
    </row>
    <row r="103" customHeight="1" spans="1:4">
      <c r="A103" s="24"/>
      <c r="B103" s="24"/>
      <c r="C103" s="24"/>
      <c r="D103" s="40"/>
    </row>
    <row r="104" customHeight="1" spans="1:4">
      <c r="A104" s="24"/>
      <c r="B104" s="24"/>
      <c r="C104" s="24"/>
      <c r="D104" s="40"/>
    </row>
    <row r="105" customHeight="1" spans="1:4">
      <c r="A105" s="24"/>
      <c r="B105" s="24"/>
      <c r="C105" s="24"/>
      <c r="D105" s="40"/>
    </row>
    <row r="106" customHeight="1" spans="1:4">
      <c r="A106" s="24"/>
      <c r="B106" s="24"/>
      <c r="C106" s="24"/>
      <c r="D106" s="40"/>
    </row>
    <row r="107" customHeight="1" spans="1:4">
      <c r="A107" s="24"/>
      <c r="B107" s="24"/>
      <c r="C107" s="24"/>
      <c r="D107" s="40"/>
    </row>
    <row r="108" customHeight="1" spans="1:4">
      <c r="A108" s="24"/>
      <c r="B108" s="24"/>
      <c r="C108" s="24"/>
      <c r="D108" s="40"/>
    </row>
    <row r="109" customHeight="1" spans="1:4">
      <c r="A109" s="24"/>
      <c r="B109" s="24"/>
      <c r="C109" s="24"/>
      <c r="D109" s="40"/>
    </row>
    <row r="110" customHeight="1" spans="1:4">
      <c r="A110" s="24"/>
      <c r="B110" s="24"/>
      <c r="C110" s="24"/>
      <c r="D110" s="40"/>
    </row>
    <row r="111" customHeight="1" spans="1:4">
      <c r="A111" s="24"/>
      <c r="B111" s="24"/>
      <c r="C111" s="24"/>
      <c r="D111" s="40"/>
    </row>
    <row r="112" customHeight="1" spans="1:4">
      <c r="A112" s="24"/>
      <c r="B112" s="24"/>
      <c r="C112" s="24"/>
      <c r="D112" s="40"/>
    </row>
    <row r="113" customHeight="1" spans="1:4">
      <c r="A113" s="24"/>
      <c r="B113" s="24"/>
      <c r="C113" s="24"/>
      <c r="D113" s="40"/>
    </row>
    <row r="114" customHeight="1" spans="1:4">
      <c r="A114" s="24"/>
      <c r="B114" s="24"/>
      <c r="C114" s="24"/>
      <c r="D114" s="40"/>
    </row>
    <row r="115" customHeight="1" spans="1:4">
      <c r="A115" s="24"/>
      <c r="B115" s="24"/>
      <c r="C115" s="24"/>
      <c r="D115" s="40"/>
    </row>
    <row r="116" customHeight="1" spans="1:4">
      <c r="A116" s="24"/>
      <c r="B116" s="24"/>
      <c r="C116" s="24"/>
      <c r="D116" s="40"/>
    </row>
    <row r="117" customHeight="1" spans="1:4">
      <c r="A117" s="24"/>
      <c r="B117" s="24"/>
      <c r="C117" s="24"/>
      <c r="D117" s="40"/>
    </row>
    <row r="118" customHeight="1" spans="1:4">
      <c r="A118" s="24"/>
      <c r="B118" s="24"/>
      <c r="C118" s="24"/>
      <c r="D118" s="40"/>
    </row>
    <row r="119" customHeight="1" spans="1:4">
      <c r="A119" s="24"/>
      <c r="B119" s="24"/>
      <c r="C119" s="24"/>
      <c r="D119" s="40"/>
    </row>
    <row r="120" customHeight="1" spans="1:4">
      <c r="A120" s="24"/>
      <c r="B120" s="24"/>
      <c r="C120" s="24"/>
      <c r="D120" s="40"/>
    </row>
    <row r="121" customHeight="1" spans="1:4">
      <c r="A121" s="24"/>
      <c r="B121" s="24"/>
      <c r="C121" s="24"/>
      <c r="D121" s="40"/>
    </row>
    <row r="122" customHeight="1" spans="1:4">
      <c r="A122" s="24"/>
      <c r="B122" s="24"/>
      <c r="C122" s="24"/>
      <c r="D122" s="40"/>
    </row>
    <row r="123" customHeight="1" spans="1:4">
      <c r="A123" s="24"/>
      <c r="B123" s="24"/>
      <c r="C123" s="24"/>
      <c r="D123" s="40"/>
    </row>
    <row r="124" customHeight="1" spans="1:4">
      <c r="A124" s="24"/>
      <c r="B124" s="24"/>
      <c r="C124" s="24"/>
      <c r="D124" s="40"/>
    </row>
    <row r="125" customHeight="1" spans="1:4">
      <c r="A125" s="24"/>
      <c r="B125" s="24"/>
      <c r="C125" s="24"/>
      <c r="D125" s="40"/>
    </row>
    <row r="126" customHeight="1" spans="1:4">
      <c r="A126" s="24"/>
      <c r="B126" s="24"/>
      <c r="C126" s="24"/>
      <c r="D126" s="40"/>
    </row>
    <row r="127" customHeight="1" spans="1:4">
      <c r="A127" s="24"/>
      <c r="B127" s="24"/>
      <c r="C127" s="24"/>
      <c r="D127" s="40"/>
    </row>
    <row r="128" customHeight="1" spans="1:4">
      <c r="A128" s="24"/>
      <c r="B128" s="24"/>
      <c r="C128" s="24"/>
      <c r="D128" s="40"/>
    </row>
    <row r="129" customHeight="1" spans="1:4">
      <c r="A129" s="24"/>
      <c r="B129" s="24"/>
      <c r="C129" s="24"/>
      <c r="D129" s="40"/>
    </row>
    <row r="130" customHeight="1" spans="1:4">
      <c r="A130" s="24"/>
      <c r="B130" s="24"/>
      <c r="C130" s="24"/>
      <c r="D130" s="40"/>
    </row>
    <row r="131" customHeight="1" spans="1:4">
      <c r="A131" s="24"/>
      <c r="B131" s="24"/>
      <c r="C131" s="24"/>
      <c r="D131" s="40"/>
    </row>
    <row r="132" customHeight="1" spans="1:4">
      <c r="A132" s="24"/>
      <c r="B132" s="24"/>
      <c r="C132" s="24"/>
      <c r="D132" s="40"/>
    </row>
    <row r="133" customHeight="1" spans="1:4">
      <c r="A133" s="24"/>
      <c r="B133" s="24"/>
      <c r="C133" s="24"/>
      <c r="D133" s="40"/>
    </row>
    <row r="134" customHeight="1" spans="1:4">
      <c r="A134" s="24"/>
      <c r="B134" s="24"/>
      <c r="C134" s="24"/>
      <c r="D134" s="40"/>
    </row>
    <row r="135" customHeight="1" spans="1:4">
      <c r="A135" s="24"/>
      <c r="B135" s="24"/>
      <c r="C135" s="24"/>
      <c r="D135" s="40"/>
    </row>
    <row r="136" customHeight="1" spans="1:4">
      <c r="A136" s="24"/>
      <c r="B136" s="24"/>
      <c r="C136" s="24"/>
      <c r="D136" s="40"/>
    </row>
    <row r="137" customHeight="1" spans="1:4">
      <c r="A137" s="24"/>
      <c r="B137" s="24"/>
      <c r="C137" s="24"/>
      <c r="D137" s="40"/>
    </row>
    <row r="138" customHeight="1" spans="1:4">
      <c r="A138" s="24"/>
      <c r="B138" s="24"/>
      <c r="C138" s="24"/>
      <c r="D138" s="40"/>
    </row>
    <row r="139" customHeight="1" spans="1:4">
      <c r="A139" s="24"/>
      <c r="B139" s="24"/>
      <c r="C139" s="24"/>
      <c r="D139" s="40"/>
    </row>
    <row r="140" customHeight="1" spans="1:4">
      <c r="A140" s="24"/>
      <c r="B140" s="24"/>
      <c r="C140" s="24"/>
      <c r="D140" s="40"/>
    </row>
    <row r="141" customHeight="1" spans="1:4">
      <c r="A141" s="24"/>
      <c r="B141" s="24"/>
      <c r="C141" s="24"/>
      <c r="D141" s="40"/>
    </row>
    <row r="142" customHeight="1" spans="1:4">
      <c r="A142" s="24"/>
      <c r="B142" s="24"/>
      <c r="C142" s="24"/>
      <c r="D142" s="40"/>
    </row>
    <row r="143" customHeight="1" spans="1:4">
      <c r="A143" s="24"/>
      <c r="B143" s="24"/>
      <c r="C143" s="24"/>
      <c r="D143" s="40"/>
    </row>
    <row r="144" customHeight="1" spans="1:4">
      <c r="A144" s="24"/>
      <c r="B144" s="24"/>
      <c r="C144" s="24"/>
      <c r="D144" s="40"/>
    </row>
    <row r="145" customHeight="1" spans="1:4">
      <c r="A145" s="24"/>
      <c r="B145" s="24"/>
      <c r="C145" s="24"/>
      <c r="D145" s="40"/>
    </row>
    <row r="146" customHeight="1" spans="1:4">
      <c r="A146" s="24"/>
      <c r="B146" s="24"/>
      <c r="C146" s="24"/>
      <c r="D146" s="40"/>
    </row>
    <row r="147" customHeight="1" spans="1:4">
      <c r="A147" s="24"/>
      <c r="B147" s="24"/>
      <c r="C147" s="24"/>
      <c r="D147" s="40"/>
    </row>
    <row r="148" customHeight="1" spans="1:4">
      <c r="A148" s="24"/>
      <c r="B148" s="24"/>
      <c r="C148" s="24"/>
      <c r="D148" s="40"/>
    </row>
    <row r="149" customHeight="1" spans="1:4">
      <c r="A149" s="24"/>
      <c r="B149" s="24"/>
      <c r="C149" s="24"/>
      <c r="D149" s="40"/>
    </row>
    <row r="150" customHeight="1" spans="1:4">
      <c r="A150" s="24"/>
      <c r="B150" s="24"/>
      <c r="C150" s="24"/>
      <c r="D150" s="40"/>
    </row>
    <row r="151" customHeight="1" spans="1:4">
      <c r="A151" s="24"/>
      <c r="B151" s="24"/>
      <c r="C151" s="24"/>
      <c r="D151" s="40"/>
    </row>
    <row r="152" customHeight="1" spans="1:4">
      <c r="A152" s="24"/>
      <c r="B152" s="24"/>
      <c r="C152" s="24"/>
      <c r="D152" s="40"/>
    </row>
    <row r="153" customHeight="1" spans="1:4">
      <c r="A153" s="24"/>
      <c r="B153" s="24"/>
      <c r="C153" s="24"/>
      <c r="D153" s="40"/>
    </row>
    <row r="154" customHeight="1" spans="1:4">
      <c r="A154" s="24"/>
      <c r="B154" s="24"/>
      <c r="C154" s="24"/>
      <c r="D154" s="40"/>
    </row>
    <row r="155" customHeight="1" spans="1:4">
      <c r="A155" s="24"/>
      <c r="B155" s="24"/>
      <c r="C155" s="24"/>
      <c r="D155" s="40"/>
    </row>
    <row r="156" customHeight="1" spans="1:4">
      <c r="A156" s="24"/>
      <c r="B156" s="24"/>
      <c r="C156" s="24"/>
      <c r="D156" s="40"/>
    </row>
    <row r="157" customHeight="1" spans="1:4">
      <c r="A157" s="24"/>
      <c r="B157" s="24"/>
      <c r="C157" s="24"/>
      <c r="D157" s="40"/>
    </row>
    <row r="158" customHeight="1" spans="1:4">
      <c r="A158" s="24"/>
      <c r="B158" s="24"/>
      <c r="C158" s="24"/>
      <c r="D158" s="40"/>
    </row>
    <row r="159" customHeight="1" spans="1:4">
      <c r="A159" s="24"/>
      <c r="B159" s="24"/>
      <c r="C159" s="24"/>
      <c r="D159" s="40"/>
    </row>
    <row r="160" customHeight="1" spans="1:4">
      <c r="A160" s="24"/>
      <c r="B160" s="24"/>
      <c r="C160" s="24"/>
      <c r="D160" s="40"/>
    </row>
    <row r="161" customHeight="1" spans="1:4">
      <c r="A161" s="24"/>
      <c r="B161" s="24"/>
      <c r="C161" s="24"/>
      <c r="D161" s="40"/>
    </row>
    <row r="162" customHeight="1" spans="1:4">
      <c r="A162" s="24"/>
      <c r="B162" s="24"/>
      <c r="C162" s="24"/>
      <c r="D162" s="40"/>
    </row>
    <row r="163" customHeight="1" spans="1:4">
      <c r="A163" s="24"/>
      <c r="B163" s="24"/>
      <c r="C163" s="24"/>
      <c r="D163" s="40"/>
    </row>
    <row r="164" customHeight="1" spans="1:4">
      <c r="A164" s="24"/>
      <c r="B164" s="24"/>
      <c r="C164" s="24"/>
      <c r="D164" s="40"/>
    </row>
    <row r="165" customHeight="1" spans="1:4">
      <c r="A165" s="24"/>
      <c r="B165" s="24"/>
      <c r="C165" s="24"/>
      <c r="D165" s="40"/>
    </row>
    <row r="166" customHeight="1" spans="1:4">
      <c r="A166" s="24"/>
      <c r="B166" s="24"/>
      <c r="C166" s="24"/>
      <c r="D166" s="40"/>
    </row>
    <row r="167" customHeight="1" spans="1:4">
      <c r="A167" s="24"/>
      <c r="B167" s="24"/>
      <c r="C167" s="24"/>
      <c r="D167" s="40"/>
    </row>
    <row r="168" customHeight="1" spans="1:4">
      <c r="A168" s="24"/>
      <c r="B168" s="24"/>
      <c r="C168" s="24"/>
      <c r="D168" s="40"/>
    </row>
    <row r="169" customHeight="1" spans="1:4">
      <c r="A169" s="24"/>
      <c r="B169" s="24"/>
      <c r="C169" s="24"/>
      <c r="D169" s="40"/>
    </row>
    <row r="170" customHeight="1" spans="1:4">
      <c r="A170" s="24"/>
      <c r="B170" s="24"/>
      <c r="C170" s="24"/>
      <c r="D170" s="40"/>
    </row>
    <row r="171" customHeight="1" spans="1:4">
      <c r="A171" s="24"/>
      <c r="B171" s="24"/>
      <c r="C171" s="24"/>
      <c r="D171" s="40"/>
    </row>
    <row r="172" customHeight="1" spans="1:4">
      <c r="A172" s="24"/>
      <c r="B172" s="24"/>
      <c r="C172" s="24"/>
      <c r="D172" s="40"/>
    </row>
    <row r="173" customHeight="1" spans="1:4">
      <c r="A173" s="24"/>
      <c r="B173" s="24"/>
      <c r="C173" s="24"/>
      <c r="D173" s="40"/>
    </row>
    <row r="174" customHeight="1" spans="1:4">
      <c r="A174" s="24"/>
      <c r="B174" s="24"/>
      <c r="C174" s="24"/>
      <c r="D174" s="40"/>
    </row>
    <row r="175" customHeight="1" spans="1:4">
      <c r="A175" s="24"/>
      <c r="B175" s="24"/>
      <c r="C175" s="24"/>
      <c r="D175" s="40"/>
    </row>
    <row r="176" customHeight="1" spans="1:4">
      <c r="A176" s="24"/>
      <c r="B176" s="24"/>
      <c r="C176" s="24"/>
      <c r="D176" s="40"/>
    </row>
    <row r="177" customHeight="1" spans="1:4">
      <c r="A177" s="24"/>
      <c r="B177" s="24"/>
      <c r="C177" s="24"/>
      <c r="D177" s="40"/>
    </row>
    <row r="178" customHeight="1" spans="1:4">
      <c r="A178" s="24"/>
      <c r="B178" s="24"/>
      <c r="C178" s="24"/>
      <c r="D178" s="40"/>
    </row>
    <row r="179" customHeight="1" spans="1:4">
      <c r="A179" s="24"/>
      <c r="B179" s="24"/>
      <c r="C179" s="24"/>
      <c r="D179" s="40"/>
    </row>
    <row r="180" customHeight="1" spans="1:4">
      <c r="A180" s="24"/>
      <c r="B180" s="24"/>
      <c r="C180" s="24"/>
      <c r="D180" s="40"/>
    </row>
    <row r="181" customHeight="1" spans="1:4">
      <c r="A181" s="24"/>
      <c r="B181" s="24"/>
      <c r="C181" s="24"/>
      <c r="D181" s="40"/>
    </row>
    <row r="182" customHeight="1" spans="1:4">
      <c r="A182" s="24"/>
      <c r="B182" s="24"/>
      <c r="C182" s="24"/>
      <c r="D182" s="40"/>
    </row>
    <row r="183" customHeight="1" spans="1:4">
      <c r="A183" s="24"/>
      <c r="B183" s="24"/>
      <c r="C183" s="24"/>
      <c r="D183" s="40"/>
    </row>
    <row r="184" customHeight="1" spans="1:4">
      <c r="A184" s="24"/>
      <c r="B184" s="24"/>
      <c r="C184" s="24"/>
      <c r="D184" s="40"/>
    </row>
    <row r="185" customHeight="1" spans="1:4">
      <c r="A185" s="24"/>
      <c r="B185" s="24"/>
      <c r="C185" s="24"/>
      <c r="D185" s="40"/>
    </row>
    <row r="186" customHeight="1" spans="1:4">
      <c r="A186" s="24"/>
      <c r="B186" s="24"/>
      <c r="C186" s="24"/>
      <c r="D186" s="40"/>
    </row>
    <row r="187" customHeight="1" spans="1:4">
      <c r="A187" s="24"/>
      <c r="B187" s="24"/>
      <c r="C187" s="24"/>
      <c r="D187" s="40"/>
    </row>
    <row r="188" customHeight="1" spans="1:4">
      <c r="A188" s="24"/>
      <c r="B188" s="24"/>
      <c r="C188" s="24"/>
      <c r="D188" s="40"/>
    </row>
    <row r="189" customHeight="1" spans="1:4">
      <c r="A189" s="24"/>
      <c r="B189" s="24"/>
      <c r="C189" s="24"/>
      <c r="D189" s="40"/>
    </row>
    <row r="190" customHeight="1" spans="1:4">
      <c r="A190" s="24"/>
      <c r="B190" s="24"/>
      <c r="C190" s="24"/>
      <c r="D190" s="40"/>
    </row>
    <row r="191" customHeight="1" spans="1:4">
      <c r="A191" s="24"/>
      <c r="B191" s="24"/>
      <c r="C191" s="24"/>
      <c r="D191" s="40"/>
    </row>
    <row r="192" customHeight="1" spans="1:4">
      <c r="A192" s="24"/>
      <c r="B192" s="24"/>
      <c r="C192" s="24"/>
      <c r="D192" s="40"/>
    </row>
    <row r="193" customHeight="1" spans="1:4">
      <c r="A193" s="24"/>
      <c r="B193" s="24"/>
      <c r="C193" s="24"/>
      <c r="D193" s="40"/>
    </row>
    <row r="194" customHeight="1" spans="1:4">
      <c r="A194" s="24"/>
      <c r="B194" s="24"/>
      <c r="C194" s="24"/>
      <c r="D194" s="40"/>
    </row>
    <row r="195" customHeight="1" spans="1:4">
      <c r="A195" s="24"/>
      <c r="B195" s="24"/>
      <c r="C195" s="24"/>
      <c r="D195" s="40"/>
    </row>
    <row r="196" customHeight="1" spans="1:4">
      <c r="A196" s="24"/>
      <c r="B196" s="24"/>
      <c r="C196" s="24"/>
      <c r="D196" s="40"/>
    </row>
    <row r="197" customHeight="1" spans="1:4">
      <c r="A197" s="24"/>
      <c r="B197" s="24"/>
      <c r="C197" s="24"/>
      <c r="D197" s="40"/>
    </row>
    <row r="198" customHeight="1" spans="1:4">
      <c r="A198" s="24"/>
      <c r="B198" s="24"/>
      <c r="C198" s="24"/>
      <c r="D198" s="40"/>
    </row>
    <row r="199" customHeight="1" spans="1:4">
      <c r="A199" s="24"/>
      <c r="B199" s="24"/>
      <c r="C199" s="24"/>
      <c r="D199" s="40"/>
    </row>
    <row r="200" customHeight="1" spans="1:4">
      <c r="A200" s="24"/>
      <c r="B200" s="24"/>
      <c r="C200" s="24"/>
      <c r="D200" s="40"/>
    </row>
    <row r="201" customHeight="1" spans="1:4">
      <c r="A201" s="24"/>
      <c r="B201" s="24"/>
      <c r="C201" s="24"/>
      <c r="D201" s="40"/>
    </row>
    <row r="202" customHeight="1" spans="1:4">
      <c r="A202" s="24"/>
      <c r="B202" s="24"/>
      <c r="C202" s="24"/>
      <c r="D202" s="40"/>
    </row>
    <row r="203" customHeight="1" spans="1:4">
      <c r="A203" s="24"/>
      <c r="B203" s="24"/>
      <c r="C203" s="24"/>
      <c r="D203" s="40"/>
    </row>
    <row r="204" customHeight="1" spans="1:4">
      <c r="A204" s="24"/>
      <c r="B204" s="24"/>
      <c r="C204" s="24"/>
      <c r="D204" s="40"/>
    </row>
    <row r="205" customHeight="1" spans="1:4">
      <c r="A205" s="24"/>
      <c r="B205" s="24"/>
      <c r="C205" s="24"/>
      <c r="D205" s="40"/>
    </row>
    <row r="206" customHeight="1" spans="1:4">
      <c r="A206" s="24"/>
      <c r="B206" s="24"/>
      <c r="C206" s="24"/>
      <c r="D206" s="40"/>
    </row>
    <row r="207" customHeight="1" spans="1:4">
      <c r="A207" s="24"/>
      <c r="B207" s="24"/>
      <c r="C207" s="24"/>
      <c r="D207" s="40"/>
    </row>
    <row r="208" customHeight="1" spans="1:4">
      <c r="A208" s="24"/>
      <c r="B208" s="24"/>
      <c r="C208" s="24"/>
      <c r="D208" s="40"/>
    </row>
    <row r="209" customHeight="1" spans="1:4">
      <c r="A209" s="24"/>
      <c r="B209" s="24"/>
      <c r="C209" s="24"/>
      <c r="D209" s="40"/>
    </row>
    <row r="210" customHeight="1" spans="1:4">
      <c r="A210" s="24"/>
      <c r="B210" s="24"/>
      <c r="C210" s="24"/>
      <c r="D210" s="40"/>
    </row>
    <row r="211" customHeight="1" spans="1:4">
      <c r="A211" s="24"/>
      <c r="B211" s="24"/>
      <c r="C211" s="24"/>
      <c r="D211" s="40"/>
    </row>
    <row r="212" customHeight="1" spans="1:4">
      <c r="A212" s="24"/>
      <c r="B212" s="24"/>
      <c r="C212" s="24"/>
      <c r="D212" s="40"/>
    </row>
    <row r="213" customHeight="1" spans="1:4">
      <c r="A213" s="24"/>
      <c r="B213" s="24"/>
      <c r="C213" s="24"/>
      <c r="D213" s="40"/>
    </row>
    <row r="214" customHeight="1" spans="1:4">
      <c r="A214" s="24"/>
      <c r="B214" s="24"/>
      <c r="C214" s="24"/>
      <c r="D214" s="40"/>
    </row>
    <row r="215" customHeight="1" spans="1:4">
      <c r="A215" s="24"/>
      <c r="B215" s="24"/>
      <c r="C215" s="24"/>
      <c r="D215" s="40"/>
    </row>
    <row r="216" customHeight="1" spans="1:4">
      <c r="A216" s="24"/>
      <c r="B216" s="24"/>
      <c r="C216" s="24"/>
      <c r="D216" s="40"/>
    </row>
    <row r="217" customHeight="1" spans="1:4">
      <c r="A217" s="24"/>
      <c r="B217" s="24"/>
      <c r="C217" s="24"/>
      <c r="D217" s="40"/>
    </row>
    <row r="218" customHeight="1" spans="1:4">
      <c r="A218" s="24"/>
      <c r="B218" s="24"/>
      <c r="C218" s="24"/>
      <c r="D218" s="40"/>
    </row>
    <row r="219" customHeight="1" spans="1:4">
      <c r="A219" s="24"/>
      <c r="B219" s="24"/>
      <c r="C219" s="24"/>
      <c r="D219" s="40"/>
    </row>
    <row r="220" customHeight="1" spans="1:4">
      <c r="A220" s="24"/>
      <c r="B220" s="24"/>
      <c r="C220" s="24"/>
      <c r="D220" s="40"/>
    </row>
    <row r="221" customHeight="1" spans="1:4">
      <c r="A221" s="24"/>
      <c r="B221" s="24"/>
      <c r="C221" s="24"/>
      <c r="D221" s="40"/>
    </row>
    <row r="222" customHeight="1" spans="1:4">
      <c r="A222" s="24"/>
      <c r="B222" s="24"/>
      <c r="C222" s="24"/>
      <c r="D222" s="40"/>
    </row>
    <row r="223" customHeight="1" spans="1:4">
      <c r="A223" s="24"/>
      <c r="B223" s="24"/>
      <c r="C223" s="24"/>
      <c r="D223" s="40"/>
    </row>
    <row r="224" customHeight="1" spans="1:4">
      <c r="A224" s="24"/>
      <c r="B224" s="24"/>
      <c r="C224" s="24"/>
      <c r="D224" s="40"/>
    </row>
    <row r="225" customHeight="1" spans="1:4">
      <c r="A225" s="24"/>
      <c r="B225" s="24"/>
      <c r="C225" s="24"/>
      <c r="D225" s="40"/>
    </row>
    <row r="226" customHeight="1" spans="1:4">
      <c r="A226" s="24"/>
      <c r="B226" s="24"/>
      <c r="C226" s="24"/>
      <c r="D226" s="40"/>
    </row>
    <row r="227" customHeight="1" spans="1:4">
      <c r="A227" s="24"/>
      <c r="B227" s="24"/>
      <c r="C227" s="24"/>
      <c r="D227" s="40"/>
    </row>
    <row r="228" customHeight="1" spans="1:4">
      <c r="A228" s="24"/>
      <c r="B228" s="24"/>
      <c r="C228" s="24"/>
      <c r="D228" s="40"/>
    </row>
    <row r="229" customHeight="1" spans="1:4">
      <c r="A229" s="24"/>
      <c r="B229" s="24"/>
      <c r="C229" s="24"/>
      <c r="D229" s="40"/>
    </row>
    <row r="230" customHeight="1" spans="1:4">
      <c r="A230" s="24"/>
      <c r="B230" s="24"/>
      <c r="C230" s="24"/>
      <c r="D230" s="40"/>
    </row>
    <row r="231" customHeight="1" spans="1:4">
      <c r="A231" s="24"/>
      <c r="B231" s="24"/>
      <c r="C231" s="24"/>
      <c r="D231" s="40"/>
    </row>
    <row r="232" customHeight="1" spans="1:4">
      <c r="A232" s="24"/>
      <c r="B232" s="24"/>
      <c r="C232" s="24"/>
      <c r="D232" s="40"/>
    </row>
    <row r="233" customHeight="1" spans="1:4">
      <c r="A233" s="24"/>
      <c r="B233" s="24"/>
      <c r="C233" s="24"/>
      <c r="D233" s="40"/>
    </row>
    <row r="234" customHeight="1" spans="1:4">
      <c r="A234" s="24"/>
      <c r="B234" s="24"/>
      <c r="C234" s="24"/>
      <c r="D234" s="40"/>
    </row>
    <row r="235" customHeight="1" spans="1:4">
      <c r="A235" s="24"/>
      <c r="B235" s="24"/>
      <c r="C235" s="24"/>
      <c r="D235" s="40"/>
    </row>
    <row r="236" customHeight="1" spans="1:4">
      <c r="A236" s="24"/>
      <c r="B236" s="24"/>
      <c r="C236" s="24"/>
      <c r="D236" s="40"/>
    </row>
    <row r="237" customHeight="1" spans="1:4">
      <c r="A237" s="24"/>
      <c r="B237" s="24"/>
      <c r="C237" s="24"/>
      <c r="D237" s="40"/>
    </row>
    <row r="238" customHeight="1" spans="1:4">
      <c r="A238" s="24"/>
      <c r="B238" s="24"/>
      <c r="C238" s="24"/>
      <c r="D238" s="40"/>
    </row>
    <row r="239" customHeight="1" spans="1:4">
      <c r="A239" s="24"/>
      <c r="B239" s="24"/>
      <c r="C239" s="24"/>
      <c r="D239" s="40"/>
    </row>
    <row r="240" customHeight="1" spans="1:4">
      <c r="A240" s="24"/>
      <c r="B240" s="24"/>
      <c r="C240" s="24"/>
      <c r="D240" s="40"/>
    </row>
    <row r="241" customHeight="1" spans="1:4">
      <c r="A241" s="24"/>
      <c r="B241" s="24"/>
      <c r="C241" s="24"/>
      <c r="D241" s="40"/>
    </row>
    <row r="242" customHeight="1" spans="1:4">
      <c r="A242" s="24"/>
      <c r="B242" s="24"/>
      <c r="C242" s="24"/>
      <c r="D242" s="40"/>
    </row>
    <row r="243" customHeight="1" spans="1:4">
      <c r="A243" s="24"/>
      <c r="B243" s="24"/>
      <c r="C243" s="24"/>
      <c r="D243" s="40"/>
    </row>
    <row r="244" customHeight="1" spans="1:4">
      <c r="A244" s="24"/>
      <c r="B244" s="24"/>
      <c r="C244" s="24"/>
      <c r="D244" s="40"/>
    </row>
    <row r="245" customHeight="1" spans="1:4">
      <c r="A245" s="24"/>
      <c r="B245" s="24"/>
      <c r="C245" s="24"/>
      <c r="D245" s="40"/>
    </row>
    <row r="246" customHeight="1" spans="1:4">
      <c r="A246" s="24"/>
      <c r="B246" s="24"/>
      <c r="C246" s="24"/>
      <c r="D246" s="40"/>
    </row>
    <row r="247" customHeight="1" spans="1:4">
      <c r="A247" s="24"/>
      <c r="B247" s="24"/>
      <c r="C247" s="24"/>
      <c r="D247" s="40"/>
    </row>
    <row r="248" customHeight="1" spans="1:4">
      <c r="A248" s="24"/>
      <c r="B248" s="24"/>
      <c r="C248" s="24"/>
      <c r="D248" s="40"/>
    </row>
    <row r="249" customHeight="1" spans="1:4">
      <c r="A249" s="24"/>
      <c r="B249" s="24"/>
      <c r="C249" s="24"/>
      <c r="D249" s="40"/>
    </row>
    <row r="250" customHeight="1" spans="1:4">
      <c r="A250" s="24"/>
      <c r="B250" s="24"/>
      <c r="C250" s="24"/>
      <c r="D250" s="40"/>
    </row>
    <row r="251" customHeight="1" spans="1:4">
      <c r="A251" s="24"/>
      <c r="B251" s="24"/>
      <c r="C251" s="24"/>
      <c r="D251" s="40"/>
    </row>
    <row r="252" customHeight="1" spans="1:4">
      <c r="A252" s="24"/>
      <c r="B252" s="24"/>
      <c r="C252" s="24"/>
      <c r="D252" s="40"/>
    </row>
    <row r="253" customHeight="1" spans="1:4">
      <c r="A253" s="24"/>
      <c r="B253" s="24"/>
      <c r="C253" s="24"/>
      <c r="D253" s="40"/>
    </row>
    <row r="254" customHeight="1" spans="1:4">
      <c r="A254" s="24"/>
      <c r="B254" s="24"/>
      <c r="C254" s="24"/>
      <c r="D254" s="40"/>
    </row>
    <row r="255" customHeight="1" spans="1:4">
      <c r="A255" s="24"/>
      <c r="B255" s="24"/>
      <c r="C255" s="24"/>
      <c r="D255" s="40"/>
    </row>
    <row r="256" customHeight="1" spans="1:4">
      <c r="A256" s="24"/>
      <c r="B256" s="24"/>
      <c r="C256" s="24"/>
      <c r="D256" s="40"/>
    </row>
    <row r="257" customHeight="1" spans="1:4">
      <c r="A257" s="24"/>
      <c r="B257" s="24"/>
      <c r="C257" s="24"/>
      <c r="D257" s="40"/>
    </row>
    <row r="258" customHeight="1" spans="1:4">
      <c r="A258" s="24"/>
      <c r="B258" s="24"/>
      <c r="C258" s="24"/>
      <c r="D258" s="40"/>
    </row>
    <row r="259" customHeight="1" spans="1:4">
      <c r="A259" s="24"/>
      <c r="B259" s="24"/>
      <c r="C259" s="24"/>
      <c r="D259" s="40"/>
    </row>
    <row r="260" customHeight="1" spans="1:4">
      <c r="A260" s="24"/>
      <c r="B260" s="24"/>
      <c r="C260" s="24"/>
      <c r="D260" s="40"/>
    </row>
    <row r="261" customHeight="1" spans="1:4">
      <c r="A261" s="24"/>
      <c r="B261" s="24"/>
      <c r="C261" s="24"/>
      <c r="D261" s="40"/>
    </row>
    <row r="262" customHeight="1" spans="1:4">
      <c r="A262" s="24"/>
      <c r="B262" s="24"/>
      <c r="C262" s="24"/>
      <c r="D262" s="40"/>
    </row>
    <row r="263" customHeight="1" spans="1:4">
      <c r="A263" s="24"/>
      <c r="B263" s="24"/>
      <c r="C263" s="24"/>
      <c r="D263" s="40"/>
    </row>
    <row r="264" customHeight="1" spans="1:4">
      <c r="A264" s="24"/>
      <c r="B264" s="24"/>
      <c r="C264" s="24"/>
      <c r="D264" s="40"/>
    </row>
    <row r="265" customHeight="1" spans="1:4">
      <c r="A265" s="24"/>
      <c r="B265" s="24"/>
      <c r="C265" s="24"/>
      <c r="D265" s="40"/>
    </row>
    <row r="266" customHeight="1" spans="1:4">
      <c r="A266" s="24"/>
      <c r="B266" s="24"/>
      <c r="C266" s="24"/>
      <c r="D266" s="40"/>
    </row>
    <row r="267" customHeight="1" spans="1:4">
      <c r="A267" s="24"/>
      <c r="B267" s="24"/>
      <c r="C267" s="24"/>
      <c r="D267" s="40"/>
    </row>
    <row r="268" customHeight="1" spans="1:4">
      <c r="A268" s="24"/>
      <c r="B268" s="24"/>
      <c r="C268" s="24"/>
      <c r="D268" s="40"/>
    </row>
    <row r="269" customHeight="1" spans="1:4">
      <c r="A269" s="24"/>
      <c r="B269" s="24"/>
      <c r="C269" s="24"/>
      <c r="D269" s="40"/>
    </row>
    <row r="270" customHeight="1" spans="1:4">
      <c r="A270" s="24"/>
      <c r="B270" s="24"/>
      <c r="C270" s="24"/>
      <c r="D270" s="40"/>
    </row>
    <row r="271" customHeight="1" spans="1:4">
      <c r="A271" s="24"/>
      <c r="B271" s="24"/>
      <c r="C271" s="24"/>
      <c r="D271" s="40"/>
    </row>
    <row r="272" customHeight="1" spans="1:4">
      <c r="A272" s="24"/>
      <c r="B272" s="24"/>
      <c r="C272" s="24"/>
      <c r="D272" s="40"/>
    </row>
    <row r="273" customHeight="1" spans="1:4">
      <c r="A273" s="24"/>
      <c r="B273" s="24"/>
      <c r="C273" s="24"/>
      <c r="D273" s="40"/>
    </row>
    <row r="274" customHeight="1" spans="1:4">
      <c r="A274" s="24"/>
      <c r="B274" s="24"/>
      <c r="C274" s="24"/>
      <c r="D274" s="40"/>
    </row>
    <row r="275" customHeight="1" spans="1:4">
      <c r="A275" s="24"/>
      <c r="B275" s="24"/>
      <c r="C275" s="24"/>
      <c r="D275" s="40"/>
    </row>
    <row r="276" customHeight="1" spans="1:4">
      <c r="A276" s="24"/>
      <c r="B276" s="24"/>
      <c r="C276" s="24"/>
      <c r="D276" s="40"/>
    </row>
    <row r="277" customHeight="1" spans="1:4">
      <c r="A277" s="24"/>
      <c r="B277" s="24"/>
      <c r="C277" s="24"/>
      <c r="D277" s="40"/>
    </row>
    <row r="278" customHeight="1" spans="1:4">
      <c r="A278" s="24"/>
      <c r="B278" s="24"/>
      <c r="C278" s="24"/>
      <c r="D278" s="40"/>
    </row>
    <row r="279" customHeight="1" spans="1:4">
      <c r="A279" s="24"/>
      <c r="B279" s="24"/>
      <c r="C279" s="24"/>
      <c r="D279" s="40"/>
    </row>
    <row r="280" customHeight="1" spans="1:4">
      <c r="A280" s="24"/>
      <c r="B280" s="24"/>
      <c r="C280" s="24"/>
      <c r="D280" s="40"/>
    </row>
    <row r="281" customHeight="1" spans="1:4">
      <c r="A281" s="24"/>
      <c r="B281" s="24"/>
      <c r="C281" s="24"/>
      <c r="D281" s="40"/>
    </row>
    <row r="282" customHeight="1" spans="1:4">
      <c r="A282" s="24"/>
      <c r="B282" s="24"/>
      <c r="C282" s="24"/>
      <c r="D282" s="40"/>
    </row>
    <row r="283" customHeight="1" spans="1:4">
      <c r="A283" s="24"/>
      <c r="B283" s="24"/>
      <c r="C283" s="24"/>
      <c r="D283" s="40"/>
    </row>
    <row r="284" customHeight="1" spans="1:4">
      <c r="A284" s="24"/>
      <c r="B284" s="24"/>
      <c r="C284" s="24"/>
      <c r="D284" s="40"/>
    </row>
    <row r="285" customHeight="1" spans="1:4">
      <c r="A285" s="24"/>
      <c r="B285" s="24"/>
      <c r="C285" s="24"/>
      <c r="D285" s="40"/>
    </row>
    <row r="286" customHeight="1" spans="1:4">
      <c r="A286" s="24"/>
      <c r="B286" s="24"/>
      <c r="C286" s="24"/>
      <c r="D286" s="40"/>
    </row>
    <row r="287" customHeight="1" spans="1:4">
      <c r="A287" s="24"/>
      <c r="B287" s="24"/>
      <c r="C287" s="24"/>
      <c r="D287" s="40"/>
    </row>
    <row r="288" customHeight="1" spans="1:4">
      <c r="A288" s="24"/>
      <c r="B288" s="24"/>
      <c r="C288" s="24"/>
      <c r="D288" s="40"/>
    </row>
    <row r="289" customHeight="1" spans="1:4">
      <c r="A289" s="24"/>
      <c r="B289" s="24"/>
      <c r="C289" s="24"/>
      <c r="D289" s="40"/>
    </row>
    <row r="290" customHeight="1" spans="1:4">
      <c r="A290" s="24"/>
      <c r="B290" s="24"/>
      <c r="C290" s="24"/>
      <c r="D290" s="40"/>
    </row>
    <row r="291" customHeight="1" spans="1:4">
      <c r="A291" s="24"/>
      <c r="B291" s="24"/>
      <c r="C291" s="24"/>
      <c r="D291" s="40"/>
    </row>
    <row r="292" customHeight="1" spans="1:4">
      <c r="A292" s="24"/>
      <c r="B292" s="24"/>
      <c r="C292" s="24"/>
      <c r="D292" s="40"/>
    </row>
    <row r="293" customHeight="1" spans="1:4">
      <c r="A293" s="24"/>
      <c r="B293" s="24"/>
      <c r="C293" s="24"/>
      <c r="D293" s="40"/>
    </row>
    <row r="294" customHeight="1" spans="1:4">
      <c r="A294" s="24"/>
      <c r="B294" s="24"/>
      <c r="C294" s="24"/>
      <c r="D294" s="40"/>
    </row>
    <row r="295" customHeight="1" spans="1:4">
      <c r="A295" s="24"/>
      <c r="B295" s="24"/>
      <c r="C295" s="24"/>
      <c r="D295" s="40"/>
    </row>
    <row r="296" customHeight="1" spans="1:4">
      <c r="A296" s="24"/>
      <c r="B296" s="24"/>
      <c r="C296" s="24"/>
      <c r="D296" s="40"/>
    </row>
    <row r="297" customHeight="1" spans="1:4">
      <c r="A297" s="24"/>
      <c r="B297" s="24"/>
      <c r="C297" s="24"/>
      <c r="D297" s="40"/>
    </row>
    <row r="298" customHeight="1" spans="1:4">
      <c r="A298" s="24"/>
      <c r="B298" s="24"/>
      <c r="C298" s="24"/>
      <c r="D298" s="40"/>
    </row>
    <row r="299" customHeight="1" spans="1:4">
      <c r="A299" s="24"/>
      <c r="B299" s="24"/>
      <c r="C299" s="24"/>
      <c r="D299" s="40"/>
    </row>
    <row r="300" customHeight="1" spans="1:4">
      <c r="A300" s="24"/>
      <c r="B300" s="24"/>
      <c r="C300" s="24"/>
      <c r="D300" s="40"/>
    </row>
    <row r="301" customHeight="1" spans="1:4">
      <c r="A301" s="24"/>
      <c r="B301" s="24"/>
      <c r="C301" s="24"/>
      <c r="D301" s="40"/>
    </row>
    <row r="302" customHeight="1" spans="1:4">
      <c r="A302" s="24"/>
      <c r="B302" s="24"/>
      <c r="C302" s="24"/>
      <c r="D302" s="40"/>
    </row>
    <row r="303" customHeight="1" spans="1:4">
      <c r="A303" s="24"/>
      <c r="B303" s="24"/>
      <c r="C303" s="24"/>
      <c r="D303" s="40"/>
    </row>
    <row r="304" customHeight="1" spans="1:4">
      <c r="A304" s="24"/>
      <c r="B304" s="24"/>
      <c r="C304" s="24"/>
      <c r="D304" s="40"/>
    </row>
    <row r="305" customHeight="1" spans="1:4">
      <c r="A305" s="24"/>
      <c r="B305" s="24"/>
      <c r="C305" s="24"/>
      <c r="D305" s="40"/>
    </row>
    <row r="306" customHeight="1" spans="1:4">
      <c r="A306" s="24"/>
      <c r="B306" s="24"/>
      <c r="C306" s="24"/>
      <c r="D306" s="40"/>
    </row>
    <row r="307" customHeight="1" spans="1:4">
      <c r="A307" s="24"/>
      <c r="B307" s="24"/>
      <c r="C307" s="24"/>
      <c r="D307" s="40"/>
    </row>
    <row r="308" customHeight="1" spans="1:4">
      <c r="A308" s="24"/>
      <c r="B308" s="24"/>
      <c r="C308" s="24"/>
      <c r="D308" s="40"/>
    </row>
    <row r="309" customHeight="1" spans="1:4">
      <c r="A309" s="24"/>
      <c r="B309" s="24"/>
      <c r="C309" s="24"/>
      <c r="D309" s="40"/>
    </row>
    <row r="310" customHeight="1" spans="1:4">
      <c r="A310" s="24"/>
      <c r="B310" s="24"/>
      <c r="C310" s="24"/>
      <c r="D310" s="40"/>
    </row>
    <row r="311" customHeight="1" spans="1:4">
      <c r="A311" s="24"/>
      <c r="B311" s="24"/>
      <c r="C311" s="24"/>
      <c r="D311" s="40"/>
    </row>
    <row r="312" customHeight="1" spans="1:4">
      <c r="A312" s="24"/>
      <c r="B312" s="24"/>
      <c r="C312" s="24"/>
      <c r="D312" s="40"/>
    </row>
    <row r="313" customHeight="1" spans="1:4">
      <c r="A313" s="24"/>
      <c r="B313" s="24"/>
      <c r="C313" s="24"/>
      <c r="D313" s="40"/>
    </row>
    <row r="314" customHeight="1" spans="1:4">
      <c r="A314" s="24"/>
      <c r="B314" s="24"/>
      <c r="C314" s="24"/>
      <c r="D314" s="40"/>
    </row>
    <row r="315" customHeight="1" spans="1:4">
      <c r="A315" s="24"/>
      <c r="B315" s="24"/>
      <c r="C315" s="24"/>
      <c r="D315" s="40"/>
    </row>
    <row r="316" customHeight="1" spans="1:4">
      <c r="A316" s="24"/>
      <c r="B316" s="24"/>
      <c r="C316" s="24"/>
      <c r="D316" s="40"/>
    </row>
    <row r="317" customHeight="1" spans="1:4">
      <c r="A317" s="24"/>
      <c r="B317" s="24"/>
      <c r="C317" s="24"/>
      <c r="D317" s="40"/>
    </row>
    <row r="318" customHeight="1" spans="1:4">
      <c r="A318" s="24"/>
      <c r="B318" s="24"/>
      <c r="C318" s="24"/>
      <c r="D318" s="40"/>
    </row>
    <row r="319" customHeight="1" spans="1:4">
      <c r="A319" s="24"/>
      <c r="B319" s="24"/>
      <c r="C319" s="24"/>
      <c r="D319" s="40"/>
    </row>
    <row r="320" customHeight="1" spans="1:4">
      <c r="A320" s="24"/>
      <c r="B320" s="24"/>
      <c r="C320" s="24"/>
      <c r="D320" s="40"/>
    </row>
    <row r="321" customHeight="1" spans="1:4">
      <c r="A321" s="24"/>
      <c r="B321" s="24"/>
      <c r="C321" s="24"/>
      <c r="D321" s="40"/>
    </row>
    <row r="322" customHeight="1" spans="1:4">
      <c r="A322" s="24"/>
      <c r="B322" s="24"/>
      <c r="C322" s="24"/>
      <c r="D322" s="40"/>
    </row>
    <row r="323" customHeight="1" spans="1:4">
      <c r="A323" s="24"/>
      <c r="B323" s="24"/>
      <c r="C323" s="24"/>
      <c r="D323" s="40"/>
    </row>
    <row r="324" customHeight="1" spans="1:4">
      <c r="A324" s="24"/>
      <c r="B324" s="24"/>
      <c r="C324" s="24"/>
      <c r="D324" s="40"/>
    </row>
    <row r="325" customHeight="1" spans="1:4">
      <c r="A325" s="24"/>
      <c r="B325" s="24"/>
      <c r="C325" s="24"/>
      <c r="D325" s="40"/>
    </row>
    <row r="326" customHeight="1" spans="1:4">
      <c r="A326" s="24"/>
      <c r="B326" s="24"/>
      <c r="C326" s="24"/>
      <c r="D326" s="40"/>
    </row>
    <row r="327" customHeight="1" spans="1:4">
      <c r="A327" s="24"/>
      <c r="B327" s="24"/>
      <c r="C327" s="24"/>
      <c r="D327" s="40"/>
    </row>
    <row r="328" customHeight="1" spans="1:4">
      <c r="A328" s="24"/>
      <c r="B328" s="24"/>
      <c r="C328" s="24"/>
      <c r="D328" s="40"/>
    </row>
    <row r="329" customHeight="1" spans="1:4">
      <c r="A329" s="24"/>
      <c r="B329" s="24"/>
      <c r="C329" s="24"/>
      <c r="D329" s="40"/>
    </row>
    <row r="330" customHeight="1" spans="1:4">
      <c r="A330" s="24"/>
      <c r="B330" s="24"/>
      <c r="C330" s="24"/>
      <c r="D330" s="40"/>
    </row>
    <row r="331" customHeight="1" spans="1:4">
      <c r="A331" s="24"/>
      <c r="B331" s="24"/>
      <c r="C331" s="24"/>
      <c r="D331" s="40"/>
    </row>
    <row r="332" customHeight="1" spans="1:4">
      <c r="A332" s="24"/>
      <c r="B332" s="24"/>
      <c r="C332" s="24"/>
      <c r="D332" s="40"/>
    </row>
    <row r="333" customHeight="1" spans="1:4">
      <c r="A333" s="24"/>
      <c r="B333" s="24"/>
      <c r="C333" s="24"/>
      <c r="D333" s="40"/>
    </row>
    <row r="334" customHeight="1" spans="1:4">
      <c r="A334" s="24"/>
      <c r="B334" s="24"/>
      <c r="C334" s="24"/>
      <c r="D334" s="40"/>
    </row>
    <row r="335" customHeight="1" spans="1:4">
      <c r="A335" s="24"/>
      <c r="B335" s="24"/>
      <c r="C335" s="24"/>
      <c r="D335" s="40"/>
    </row>
    <row r="336" customHeight="1" spans="1:4">
      <c r="A336" s="24"/>
      <c r="B336" s="24"/>
      <c r="C336" s="24"/>
      <c r="D336" s="40"/>
    </row>
    <row r="337" customHeight="1" spans="1:4">
      <c r="A337" s="24"/>
      <c r="B337" s="24"/>
      <c r="C337" s="24"/>
      <c r="D337" s="40"/>
    </row>
    <row r="338" customHeight="1" spans="1:4">
      <c r="A338" s="24"/>
      <c r="B338" s="24"/>
      <c r="C338" s="24"/>
      <c r="D338" s="40"/>
    </row>
    <row r="339" customHeight="1" spans="1:4">
      <c r="A339" s="24"/>
      <c r="B339" s="24"/>
      <c r="C339" s="24"/>
      <c r="D339" s="40"/>
    </row>
    <row r="340" customHeight="1" spans="1:4">
      <c r="A340" s="24"/>
      <c r="B340" s="24"/>
      <c r="C340" s="24"/>
      <c r="D340" s="40"/>
    </row>
    <row r="341" customHeight="1" spans="1:4">
      <c r="A341" s="24"/>
      <c r="B341" s="24"/>
      <c r="C341" s="24"/>
      <c r="D341" s="40"/>
    </row>
    <row r="342" customHeight="1" spans="1:4">
      <c r="A342" s="24"/>
      <c r="B342" s="24"/>
      <c r="C342" s="24"/>
      <c r="D342" s="40"/>
    </row>
    <row r="343" customHeight="1" spans="1:4">
      <c r="A343" s="24"/>
      <c r="B343" s="24"/>
      <c r="C343" s="24"/>
      <c r="D343" s="40"/>
    </row>
    <row r="344" customHeight="1" spans="1:4">
      <c r="A344" s="24"/>
      <c r="B344" s="24"/>
      <c r="C344" s="24"/>
      <c r="D344" s="40"/>
    </row>
    <row r="345" customHeight="1" spans="1:4">
      <c r="A345" s="24"/>
      <c r="B345" s="24"/>
      <c r="C345" s="24"/>
      <c r="D345" s="40"/>
    </row>
    <row r="346" customHeight="1" spans="1:4">
      <c r="A346" s="24"/>
      <c r="B346" s="24"/>
      <c r="C346" s="24"/>
      <c r="D346" s="40"/>
    </row>
    <row r="347" customHeight="1" spans="1:4">
      <c r="A347" s="24"/>
      <c r="B347" s="24"/>
      <c r="C347" s="24"/>
      <c r="D347" s="40"/>
    </row>
    <row r="348" customHeight="1" spans="1:4">
      <c r="A348" s="24"/>
      <c r="B348" s="24"/>
      <c r="C348" s="24"/>
      <c r="D348" s="40"/>
    </row>
    <row r="349" customHeight="1" spans="1:4">
      <c r="A349" s="24"/>
      <c r="B349" s="24"/>
      <c r="C349" s="24"/>
      <c r="D349" s="40"/>
    </row>
    <row r="350" customHeight="1" spans="1:4">
      <c r="A350" s="24"/>
      <c r="B350" s="24"/>
      <c r="C350" s="24"/>
      <c r="D350" s="40"/>
    </row>
    <row r="351" customHeight="1" spans="1:4">
      <c r="A351" s="24"/>
      <c r="B351" s="24"/>
      <c r="C351" s="24"/>
      <c r="D351" s="40"/>
    </row>
    <row r="352" customHeight="1" spans="1:4">
      <c r="A352" s="24"/>
      <c r="B352" s="24"/>
      <c r="C352" s="24"/>
      <c r="D352" s="40"/>
    </row>
    <row r="353" customHeight="1" spans="1:4">
      <c r="A353" s="24"/>
      <c r="B353" s="24"/>
      <c r="C353" s="24"/>
      <c r="D353" s="40"/>
    </row>
    <row r="354" customHeight="1" spans="1:4">
      <c r="A354" s="24"/>
      <c r="B354" s="24"/>
      <c r="C354" s="24"/>
      <c r="D354" s="40"/>
    </row>
    <row r="355" customHeight="1" spans="1:4">
      <c r="A355" s="24"/>
      <c r="B355" s="24"/>
      <c r="C355" s="24"/>
      <c r="D355" s="40"/>
    </row>
    <row r="356" customHeight="1" spans="1:4">
      <c r="A356" s="24"/>
      <c r="B356" s="24"/>
      <c r="C356" s="24"/>
      <c r="D356" s="40"/>
    </row>
    <row r="357" customHeight="1" spans="1:4">
      <c r="A357" s="24"/>
      <c r="B357" s="24"/>
      <c r="C357" s="24"/>
      <c r="D357" s="40"/>
    </row>
    <row r="358" customHeight="1" spans="1:4">
      <c r="A358" s="24"/>
      <c r="B358" s="24"/>
      <c r="C358" s="24"/>
      <c r="D358" s="40"/>
    </row>
    <row r="359" customHeight="1" spans="1:4">
      <c r="A359" s="24"/>
      <c r="B359" s="24"/>
      <c r="C359" s="24"/>
      <c r="D359" s="40"/>
    </row>
    <row r="360" customHeight="1" spans="1:4">
      <c r="A360" s="24"/>
      <c r="B360" s="24"/>
      <c r="C360" s="24"/>
      <c r="D360" s="40"/>
    </row>
    <row r="361" customHeight="1" spans="1:4">
      <c r="A361" s="24"/>
      <c r="B361" s="24"/>
      <c r="C361" s="24"/>
      <c r="D361" s="40"/>
    </row>
    <row r="362" customHeight="1" spans="1:4">
      <c r="A362" s="24"/>
      <c r="B362" s="24"/>
      <c r="C362" s="24"/>
      <c r="D362" s="40"/>
    </row>
    <row r="363" customHeight="1" spans="1:4">
      <c r="A363" s="24"/>
      <c r="B363" s="24"/>
      <c r="C363" s="24"/>
      <c r="D363" s="40"/>
    </row>
    <row r="364" customHeight="1" spans="1:4">
      <c r="A364" s="24"/>
      <c r="B364" s="24"/>
      <c r="C364" s="24"/>
      <c r="D364" s="40"/>
    </row>
    <row r="365" customHeight="1" spans="1:4">
      <c r="A365" s="24"/>
      <c r="B365" s="24"/>
      <c r="C365" s="24"/>
      <c r="D365" s="40"/>
    </row>
    <row r="366" customHeight="1" spans="1:4">
      <c r="A366" s="24"/>
      <c r="B366" s="24"/>
      <c r="C366" s="24"/>
      <c r="D366" s="40"/>
    </row>
    <row r="367" customHeight="1" spans="1:4">
      <c r="A367" s="24"/>
      <c r="B367" s="24"/>
      <c r="C367" s="24"/>
      <c r="D367" s="40"/>
    </row>
    <row r="368" customHeight="1" spans="1:4">
      <c r="A368" s="24"/>
      <c r="B368" s="24"/>
      <c r="C368" s="24"/>
      <c r="D368" s="40"/>
    </row>
    <row r="369" customHeight="1" spans="1:4">
      <c r="A369" s="24"/>
      <c r="B369" s="24"/>
      <c r="C369" s="24"/>
      <c r="D369" s="40"/>
    </row>
    <row r="370" customHeight="1" spans="1:4">
      <c r="A370" s="24"/>
      <c r="B370" s="24"/>
      <c r="C370" s="24"/>
      <c r="D370" s="40"/>
    </row>
    <row r="371" customHeight="1" spans="1:4">
      <c r="A371" s="24"/>
      <c r="B371" s="24"/>
      <c r="C371" s="24"/>
      <c r="D371" s="40"/>
    </row>
    <row r="372" customHeight="1" spans="1:4">
      <c r="A372" s="24"/>
      <c r="B372" s="24"/>
      <c r="C372" s="24"/>
      <c r="D372" s="40"/>
    </row>
    <row r="373" customHeight="1" spans="1:4">
      <c r="A373" s="24"/>
      <c r="B373" s="24"/>
      <c r="C373" s="24"/>
      <c r="D373" s="40"/>
    </row>
    <row r="374" customHeight="1" spans="1:4">
      <c r="A374" s="24"/>
      <c r="B374" s="24"/>
      <c r="C374" s="24"/>
      <c r="D374" s="40"/>
    </row>
    <row r="375" customHeight="1" spans="1:4">
      <c r="A375" s="24"/>
      <c r="B375" s="24"/>
      <c r="C375" s="24"/>
      <c r="D375" s="40"/>
    </row>
    <row r="376" customHeight="1" spans="1:4">
      <c r="A376" s="24"/>
      <c r="B376" s="24"/>
      <c r="C376" s="24"/>
      <c r="D376" s="40"/>
    </row>
    <row r="377" customHeight="1" spans="1:4">
      <c r="A377" s="24"/>
      <c r="B377" s="24"/>
      <c r="C377" s="24"/>
      <c r="D377" s="40"/>
    </row>
    <row r="378" customHeight="1" spans="1:4">
      <c r="A378" s="24"/>
      <c r="B378" s="24"/>
      <c r="C378" s="24"/>
      <c r="D378" s="40"/>
    </row>
    <row r="379" customHeight="1" spans="1:4">
      <c r="A379" s="24"/>
      <c r="B379" s="24"/>
      <c r="C379" s="24"/>
      <c r="D379" s="40"/>
    </row>
    <row r="380" customHeight="1" spans="1:4">
      <c r="A380" s="24"/>
      <c r="B380" s="24"/>
      <c r="C380" s="24"/>
      <c r="D380" s="40"/>
    </row>
    <row r="381" customHeight="1" spans="1:4">
      <c r="A381" s="24"/>
      <c r="B381" s="24"/>
      <c r="C381" s="24"/>
      <c r="D381" s="40"/>
    </row>
    <row r="382" customHeight="1" spans="1:4">
      <c r="A382" s="24"/>
      <c r="B382" s="24"/>
      <c r="C382" s="24"/>
      <c r="D382" s="40"/>
    </row>
    <row r="383" customHeight="1" spans="1:4">
      <c r="A383" s="24"/>
      <c r="B383" s="24"/>
      <c r="C383" s="24"/>
      <c r="D383" s="40"/>
    </row>
    <row r="384" customHeight="1" spans="1:4">
      <c r="A384" s="24"/>
      <c r="B384" s="24"/>
      <c r="C384" s="24"/>
      <c r="D384" s="40"/>
    </row>
    <row r="385" customHeight="1" spans="1:4">
      <c r="A385" s="24"/>
      <c r="B385" s="24"/>
      <c r="C385" s="24"/>
      <c r="D385" s="40"/>
    </row>
    <row r="386" customHeight="1" spans="1:4">
      <c r="A386" s="24"/>
      <c r="B386" s="24"/>
      <c r="C386" s="24"/>
      <c r="D386" s="40"/>
    </row>
    <row r="387" customHeight="1" spans="1:4">
      <c r="A387" s="24"/>
      <c r="B387" s="24"/>
      <c r="C387" s="24"/>
      <c r="D387" s="40"/>
    </row>
    <row r="388" customHeight="1" spans="1:4">
      <c r="A388" s="24"/>
      <c r="B388" s="24"/>
      <c r="C388" s="24"/>
      <c r="D388" s="40"/>
    </row>
    <row r="389" customHeight="1" spans="1:4">
      <c r="A389" s="24"/>
      <c r="B389" s="24"/>
      <c r="C389" s="24"/>
      <c r="D389" s="40"/>
    </row>
    <row r="390" customHeight="1" spans="1:4">
      <c r="A390" s="24"/>
      <c r="B390" s="24"/>
      <c r="C390" s="24"/>
      <c r="D390" s="40"/>
    </row>
    <row r="391" customHeight="1" spans="1:4">
      <c r="A391" s="24"/>
      <c r="B391" s="24"/>
      <c r="C391" s="24"/>
      <c r="D391" s="40"/>
    </row>
    <row r="392" customHeight="1" spans="1:4">
      <c r="A392" s="24"/>
      <c r="B392" s="24"/>
      <c r="C392" s="24"/>
      <c r="D392" s="40"/>
    </row>
    <row r="393" customHeight="1" spans="1:4">
      <c r="A393" s="24"/>
      <c r="B393" s="24"/>
      <c r="C393" s="24"/>
      <c r="D393" s="40"/>
    </row>
    <row r="394" customHeight="1" spans="1:4">
      <c r="A394" s="24"/>
      <c r="B394" s="24"/>
      <c r="C394" s="24"/>
      <c r="D394" s="40"/>
    </row>
    <row r="395" customHeight="1" spans="1:4">
      <c r="A395" s="24"/>
      <c r="B395" s="24"/>
      <c r="C395" s="24"/>
      <c r="D395" s="40"/>
    </row>
    <row r="396" customHeight="1" spans="1:4">
      <c r="A396" s="24"/>
      <c r="B396" s="24"/>
      <c r="C396" s="24"/>
      <c r="D396" s="40"/>
    </row>
    <row r="397" customHeight="1" spans="1:4">
      <c r="A397" s="24"/>
      <c r="B397" s="24"/>
      <c r="C397" s="24"/>
      <c r="D397" s="40"/>
    </row>
    <row r="398" customHeight="1" spans="1:4">
      <c r="A398" s="24"/>
      <c r="B398" s="24"/>
      <c r="C398" s="24"/>
      <c r="D398" s="40"/>
    </row>
    <row r="399" customHeight="1" spans="1:4">
      <c r="A399" s="24"/>
      <c r="B399" s="24"/>
      <c r="C399" s="24"/>
      <c r="D399" s="40"/>
    </row>
    <row r="400" customHeight="1" spans="1:4">
      <c r="A400" s="24"/>
      <c r="B400" s="24"/>
      <c r="C400" s="24"/>
      <c r="D400" s="40"/>
    </row>
    <row r="401" customHeight="1" spans="1:4">
      <c r="A401" s="24"/>
      <c r="B401" s="24"/>
      <c r="C401" s="24"/>
      <c r="D401" s="40"/>
    </row>
    <row r="402" customHeight="1" spans="1:4">
      <c r="A402" s="24"/>
      <c r="B402" s="24"/>
      <c r="C402" s="24"/>
      <c r="D402" s="40"/>
    </row>
    <row r="403" customHeight="1" spans="1:4">
      <c r="A403" s="24"/>
      <c r="B403" s="24"/>
      <c r="C403" s="24"/>
      <c r="D403" s="40"/>
    </row>
    <row r="404" customHeight="1" spans="1:4">
      <c r="A404" s="24"/>
      <c r="B404" s="24"/>
      <c r="C404" s="24"/>
      <c r="D404" s="40"/>
    </row>
    <row r="405" customHeight="1" spans="1:4">
      <c r="A405" s="24"/>
      <c r="B405" s="24"/>
      <c r="C405" s="24"/>
      <c r="D405" s="40"/>
    </row>
    <row r="406" customHeight="1" spans="1:4">
      <c r="A406" s="24"/>
      <c r="B406" s="24"/>
      <c r="C406" s="24"/>
      <c r="D406" s="40"/>
    </row>
    <row r="407" customHeight="1" spans="1:4">
      <c r="A407" s="24"/>
      <c r="B407" s="24"/>
      <c r="C407" s="24"/>
      <c r="D407" s="40"/>
    </row>
    <row r="408" customHeight="1" spans="1:4">
      <c r="A408" s="24"/>
      <c r="B408" s="24"/>
      <c r="C408" s="24"/>
      <c r="D408" s="40"/>
    </row>
    <row r="409" customHeight="1" spans="1:4">
      <c r="A409" s="24"/>
      <c r="B409" s="24"/>
      <c r="C409" s="24"/>
      <c r="D409" s="40"/>
    </row>
    <row r="410" customHeight="1" spans="1:4">
      <c r="A410" s="24"/>
      <c r="B410" s="24"/>
      <c r="C410" s="24"/>
      <c r="D410" s="40"/>
    </row>
    <row r="411" customHeight="1" spans="1:4">
      <c r="A411" s="24"/>
      <c r="B411" s="24"/>
      <c r="C411" s="24"/>
      <c r="D411" s="40"/>
    </row>
    <row r="412" customHeight="1" spans="1:4">
      <c r="A412" s="24"/>
      <c r="B412" s="24"/>
      <c r="C412" s="24"/>
      <c r="D412" s="40"/>
    </row>
    <row r="413" customHeight="1" spans="1:4">
      <c r="A413" s="24"/>
      <c r="B413" s="24"/>
      <c r="C413" s="24"/>
      <c r="D413" s="40"/>
    </row>
    <row r="414" customHeight="1" spans="1:4">
      <c r="A414" s="24"/>
      <c r="B414" s="24"/>
      <c r="C414" s="24"/>
      <c r="D414" s="40"/>
    </row>
    <row r="415" customHeight="1" spans="1:4">
      <c r="A415" s="24"/>
      <c r="B415" s="24"/>
      <c r="C415" s="24"/>
      <c r="D415" s="40"/>
    </row>
    <row r="416" customHeight="1" spans="1:4">
      <c r="A416" s="24"/>
      <c r="B416" s="24"/>
      <c r="C416" s="24"/>
      <c r="D416" s="40"/>
    </row>
    <row r="417" customHeight="1" spans="1:4">
      <c r="A417" s="24"/>
      <c r="B417" s="24"/>
      <c r="C417" s="24"/>
      <c r="D417" s="40"/>
    </row>
    <row r="418" customHeight="1" spans="1:4">
      <c r="A418" s="24"/>
      <c r="B418" s="24"/>
      <c r="C418" s="24"/>
      <c r="D418" s="40"/>
    </row>
    <row r="419" customHeight="1" spans="1:4">
      <c r="A419" s="24"/>
      <c r="B419" s="24"/>
      <c r="C419" s="24"/>
      <c r="D419" s="40"/>
    </row>
    <row r="420" customHeight="1" spans="1:4">
      <c r="A420" s="24"/>
      <c r="B420" s="24"/>
      <c r="C420" s="24"/>
      <c r="D420" s="40"/>
    </row>
    <row r="421" customHeight="1" spans="1:4">
      <c r="A421" s="24"/>
      <c r="B421" s="24"/>
      <c r="C421" s="24"/>
      <c r="D421" s="40"/>
    </row>
    <row r="422" customHeight="1" spans="1:4">
      <c r="A422" s="24"/>
      <c r="B422" s="24"/>
      <c r="C422" s="24"/>
      <c r="D422" s="40"/>
    </row>
    <row r="423" customHeight="1" spans="1:4">
      <c r="A423" s="24"/>
      <c r="B423" s="24"/>
      <c r="C423" s="24"/>
      <c r="D423" s="40"/>
    </row>
    <row r="424" customHeight="1" spans="1:4">
      <c r="A424" s="24"/>
      <c r="B424" s="24"/>
      <c r="C424" s="24"/>
      <c r="D424" s="40"/>
    </row>
    <row r="425" customHeight="1" spans="1:4">
      <c r="A425" s="24"/>
      <c r="B425" s="24"/>
      <c r="C425" s="24"/>
      <c r="D425" s="40"/>
    </row>
    <row r="426" customHeight="1" spans="1:4">
      <c r="A426" s="24"/>
      <c r="B426" s="24"/>
      <c r="C426" s="24"/>
      <c r="D426" s="40"/>
    </row>
    <row r="427" customHeight="1" spans="1:4">
      <c r="A427" s="24"/>
      <c r="B427" s="24"/>
      <c r="C427" s="24"/>
      <c r="D427" s="40"/>
    </row>
    <row r="428" customHeight="1" spans="1:4">
      <c r="A428" s="24"/>
      <c r="B428" s="24"/>
      <c r="C428" s="24"/>
      <c r="D428" s="40"/>
    </row>
    <row r="429" customHeight="1" spans="1:4">
      <c r="A429" s="24"/>
      <c r="B429" s="24"/>
      <c r="C429" s="24"/>
      <c r="D429" s="40"/>
    </row>
    <row r="430" customHeight="1" spans="1:4">
      <c r="A430" s="24"/>
      <c r="B430" s="24"/>
      <c r="C430" s="24"/>
      <c r="D430" s="40"/>
    </row>
    <row r="431" customHeight="1" spans="1:4">
      <c r="A431" s="24"/>
      <c r="B431" s="24"/>
      <c r="C431" s="24"/>
      <c r="D431" s="40"/>
    </row>
    <row r="432" customHeight="1" spans="1:4">
      <c r="A432" s="24"/>
      <c r="B432" s="24"/>
      <c r="C432" s="24"/>
      <c r="D432" s="40"/>
    </row>
    <row r="433" customHeight="1" spans="1:4">
      <c r="A433" s="24"/>
      <c r="B433" s="24"/>
      <c r="C433" s="24"/>
      <c r="D433" s="40"/>
    </row>
    <row r="434" customHeight="1" spans="1:4">
      <c r="A434" s="24"/>
      <c r="B434" s="24"/>
      <c r="C434" s="24"/>
      <c r="D434" s="40"/>
    </row>
    <row r="435" customHeight="1" spans="1:4">
      <c r="A435" s="24"/>
      <c r="B435" s="24"/>
      <c r="C435" s="24"/>
      <c r="D435" s="40"/>
    </row>
    <row r="436" customHeight="1" spans="1:4">
      <c r="A436" s="24"/>
      <c r="B436" s="24"/>
      <c r="C436" s="24"/>
      <c r="D436" s="40"/>
    </row>
    <row r="437" customHeight="1" spans="1:4">
      <c r="A437" s="24"/>
      <c r="B437" s="24"/>
      <c r="C437" s="24"/>
      <c r="D437" s="40"/>
    </row>
    <row r="438" customHeight="1" spans="1:4">
      <c r="A438" s="24"/>
      <c r="B438" s="24"/>
      <c r="C438" s="24"/>
      <c r="D438" s="40"/>
    </row>
    <row r="439" customHeight="1" spans="1:4">
      <c r="A439" s="24"/>
      <c r="B439" s="24"/>
      <c r="C439" s="24"/>
      <c r="D439" s="40"/>
    </row>
    <row r="440" customHeight="1" spans="1:4">
      <c r="A440" s="24"/>
      <c r="B440" s="24"/>
      <c r="C440" s="24"/>
      <c r="D440" s="40"/>
    </row>
    <row r="441" customHeight="1" spans="1:4">
      <c r="A441" s="24"/>
      <c r="B441" s="24"/>
      <c r="C441" s="24"/>
      <c r="D441" s="40"/>
    </row>
    <row r="442" customHeight="1" spans="1:4">
      <c r="A442" s="24"/>
      <c r="B442" s="24"/>
      <c r="C442" s="24"/>
      <c r="D442" s="40"/>
    </row>
    <row r="443" customHeight="1" spans="1:4">
      <c r="A443" s="24"/>
      <c r="B443" s="24"/>
      <c r="C443" s="24"/>
      <c r="D443" s="40"/>
    </row>
    <row r="444" customHeight="1" spans="1:4">
      <c r="A444" s="24"/>
      <c r="B444" s="24"/>
      <c r="C444" s="24"/>
      <c r="D444" s="40"/>
    </row>
    <row r="445" customHeight="1" spans="1:4">
      <c r="A445" s="24"/>
      <c r="B445" s="24"/>
      <c r="C445" s="24"/>
      <c r="D445" s="40"/>
    </row>
    <row r="446" customHeight="1" spans="1:4">
      <c r="A446" s="24"/>
      <c r="B446" s="24"/>
      <c r="C446" s="24"/>
      <c r="D446" s="40"/>
    </row>
    <row r="447" customHeight="1" spans="1:4">
      <c r="A447" s="24"/>
      <c r="B447" s="24"/>
      <c r="C447" s="24"/>
      <c r="D447" s="40"/>
    </row>
    <row r="448" customHeight="1" spans="1:4">
      <c r="A448" s="24"/>
      <c r="B448" s="24"/>
      <c r="C448" s="24"/>
      <c r="D448" s="40"/>
    </row>
    <row r="449" customHeight="1" spans="1:4">
      <c r="A449" s="24"/>
      <c r="B449" s="24"/>
      <c r="C449" s="24"/>
      <c r="D449" s="40"/>
    </row>
    <row r="450" customHeight="1" spans="1:4">
      <c r="A450" s="24"/>
      <c r="B450" s="24"/>
      <c r="C450" s="24"/>
      <c r="D450" s="40"/>
    </row>
    <row r="451" customHeight="1" spans="1:4">
      <c r="A451" s="24"/>
      <c r="B451" s="24"/>
      <c r="C451" s="24"/>
      <c r="D451" s="40"/>
    </row>
    <row r="452" customHeight="1" spans="1:4">
      <c r="A452" s="24"/>
      <c r="B452" s="24"/>
      <c r="C452" s="24"/>
      <c r="D452" s="40"/>
    </row>
    <row r="453" customHeight="1" spans="1:4">
      <c r="A453" s="24"/>
      <c r="B453" s="24"/>
      <c r="C453" s="24"/>
      <c r="D453" s="40"/>
    </row>
    <row r="454" customHeight="1" spans="1:4">
      <c r="A454" s="24"/>
      <c r="B454" s="24"/>
      <c r="C454" s="24"/>
      <c r="D454" s="40"/>
    </row>
    <row r="455" customHeight="1" spans="1:4">
      <c r="A455" s="24"/>
      <c r="B455" s="24"/>
      <c r="C455" s="24"/>
      <c r="D455" s="40"/>
    </row>
    <row r="456" customHeight="1" spans="1:4">
      <c r="A456" s="24"/>
      <c r="B456" s="24"/>
      <c r="C456" s="24"/>
      <c r="D456" s="40"/>
    </row>
    <row r="457" customHeight="1" spans="1:4">
      <c r="A457" s="24"/>
      <c r="B457" s="24"/>
      <c r="C457" s="24"/>
      <c r="D457" s="40"/>
    </row>
    <row r="458" customHeight="1" spans="1:4">
      <c r="A458" s="24"/>
      <c r="B458" s="24"/>
      <c r="C458" s="24"/>
      <c r="D458" s="40"/>
    </row>
    <row r="459" customHeight="1" spans="1:4">
      <c r="A459" s="24"/>
      <c r="B459" s="24"/>
      <c r="C459" s="24"/>
      <c r="D459" s="40"/>
    </row>
    <row r="460" customHeight="1" spans="1:4">
      <c r="A460" s="24"/>
      <c r="B460" s="24"/>
      <c r="C460" s="24"/>
      <c r="D460" s="40"/>
    </row>
    <row r="461" customHeight="1" spans="1:4">
      <c r="A461" s="24"/>
      <c r="B461" s="24"/>
      <c r="C461" s="24"/>
      <c r="D461" s="40"/>
    </row>
    <row r="462" customHeight="1" spans="1:4">
      <c r="A462" s="24"/>
      <c r="B462" s="24"/>
      <c r="C462" s="24"/>
      <c r="D462" s="40"/>
    </row>
    <row r="463" customHeight="1" spans="1:4">
      <c r="A463" s="24"/>
      <c r="B463" s="24"/>
      <c r="C463" s="24"/>
      <c r="D463" s="40"/>
    </row>
    <row r="464" customHeight="1" spans="1:4">
      <c r="A464" s="24"/>
      <c r="B464" s="24"/>
      <c r="C464" s="24"/>
      <c r="D464" s="40"/>
    </row>
    <row r="465" customHeight="1" spans="1:4">
      <c r="A465" s="24"/>
      <c r="B465" s="24"/>
      <c r="C465" s="24"/>
      <c r="D465" s="40"/>
    </row>
    <row r="466" customHeight="1" spans="1:4">
      <c r="A466" s="24"/>
      <c r="B466" s="24"/>
      <c r="C466" s="24"/>
      <c r="D466" s="40"/>
    </row>
    <row r="467" customHeight="1" spans="1:4">
      <c r="A467" s="24"/>
      <c r="B467" s="24"/>
      <c r="C467" s="24"/>
      <c r="D467" s="40"/>
    </row>
    <row r="468" customHeight="1" spans="1:4">
      <c r="A468" s="24"/>
      <c r="B468" s="24"/>
      <c r="C468" s="24"/>
      <c r="D468" s="40"/>
    </row>
    <row r="469" customHeight="1" spans="1:4">
      <c r="A469" s="24"/>
      <c r="B469" s="24"/>
      <c r="C469" s="24"/>
      <c r="D469" s="40"/>
    </row>
    <row r="470" customHeight="1" spans="1:4">
      <c r="A470" s="24"/>
      <c r="B470" s="24"/>
      <c r="C470" s="24"/>
      <c r="D470" s="40"/>
    </row>
    <row r="471" customHeight="1" spans="1:4">
      <c r="A471" s="24"/>
      <c r="B471" s="24"/>
      <c r="C471" s="24"/>
      <c r="D471" s="40"/>
    </row>
    <row r="472" customHeight="1" spans="1:4">
      <c r="A472" s="24"/>
      <c r="B472" s="24"/>
      <c r="C472" s="24"/>
      <c r="D472" s="40"/>
    </row>
    <row r="473" customHeight="1" spans="1:4">
      <c r="A473" s="24"/>
      <c r="B473" s="24"/>
      <c r="C473" s="24"/>
      <c r="D473" s="40"/>
    </row>
    <row r="474" customHeight="1" spans="1:4">
      <c r="A474" s="24"/>
      <c r="B474" s="24"/>
      <c r="C474" s="24"/>
      <c r="D474" s="40"/>
    </row>
    <row r="475" customHeight="1" spans="1:4">
      <c r="A475" s="24"/>
      <c r="B475" s="24"/>
      <c r="C475" s="24"/>
      <c r="D475" s="40"/>
    </row>
    <row r="476" customHeight="1" spans="1:4">
      <c r="A476" s="24"/>
      <c r="B476" s="24"/>
      <c r="C476" s="24"/>
      <c r="D476" s="40"/>
    </row>
    <row r="477" customHeight="1" spans="1:4">
      <c r="A477" s="24"/>
      <c r="B477" s="24"/>
      <c r="C477" s="24"/>
      <c r="D477" s="40"/>
    </row>
    <row r="478" customHeight="1" spans="1:4">
      <c r="A478" s="24"/>
      <c r="B478" s="24"/>
      <c r="C478" s="24"/>
      <c r="D478" s="40"/>
    </row>
    <row r="479" customHeight="1" spans="1:4">
      <c r="A479" s="24"/>
      <c r="B479" s="24"/>
      <c r="C479" s="24"/>
      <c r="D479" s="40"/>
    </row>
    <row r="480" customHeight="1" spans="1:4">
      <c r="A480" s="24"/>
      <c r="B480" s="24"/>
      <c r="C480" s="24"/>
      <c r="D480" s="40"/>
    </row>
    <row r="481" customHeight="1" spans="1:4">
      <c r="A481" s="24"/>
      <c r="B481" s="24"/>
      <c r="C481" s="24"/>
      <c r="D481" s="40"/>
    </row>
    <row r="482" customHeight="1" spans="1:4">
      <c r="A482" s="24"/>
      <c r="B482" s="24"/>
      <c r="C482" s="24"/>
      <c r="D482" s="40"/>
    </row>
    <row r="483" customHeight="1" spans="1:4">
      <c r="A483" s="24"/>
      <c r="B483" s="24"/>
      <c r="C483" s="24"/>
      <c r="D483" s="40"/>
    </row>
    <row r="484" customHeight="1" spans="1:4">
      <c r="A484" s="24"/>
      <c r="B484" s="24"/>
      <c r="C484" s="24"/>
      <c r="D484" s="40"/>
    </row>
    <row r="485" customHeight="1" spans="1:4">
      <c r="A485" s="24"/>
      <c r="B485" s="24"/>
      <c r="C485" s="24"/>
      <c r="D485" s="40"/>
    </row>
    <row r="486" customHeight="1" spans="1:4">
      <c r="A486" s="24"/>
      <c r="B486" s="24"/>
      <c r="C486" s="24"/>
      <c r="D486" s="40"/>
    </row>
    <row r="487" customHeight="1" spans="1:4">
      <c r="A487" s="24"/>
      <c r="B487" s="24"/>
      <c r="C487" s="24"/>
      <c r="D487" s="40"/>
    </row>
    <row r="488" customHeight="1" spans="1:4">
      <c r="A488" s="24"/>
      <c r="B488" s="24"/>
      <c r="C488" s="24"/>
      <c r="D488" s="40"/>
    </row>
    <row r="489" customHeight="1" spans="1:4">
      <c r="A489" s="24"/>
      <c r="B489" s="24"/>
      <c r="C489" s="24"/>
      <c r="D489" s="40"/>
    </row>
    <row r="490" customHeight="1" spans="1:4">
      <c r="A490" s="24"/>
      <c r="B490" s="24"/>
      <c r="C490" s="24"/>
      <c r="D490" s="40"/>
    </row>
    <row r="491" customHeight="1" spans="1:4">
      <c r="A491" s="24"/>
      <c r="B491" s="24"/>
      <c r="C491" s="24"/>
      <c r="D491" s="40"/>
    </row>
    <row r="492" customHeight="1" spans="1:4">
      <c r="A492" s="24"/>
      <c r="B492" s="24"/>
      <c r="C492" s="24"/>
      <c r="D492" s="40"/>
    </row>
    <row r="493" customHeight="1" spans="1:4">
      <c r="A493" s="24"/>
      <c r="B493" s="24"/>
      <c r="C493" s="24"/>
      <c r="D493" s="40"/>
    </row>
    <row r="494" customHeight="1" spans="1:4">
      <c r="A494" s="24"/>
      <c r="B494" s="24"/>
      <c r="C494" s="24"/>
      <c r="D494" s="40"/>
    </row>
    <row r="495" customHeight="1" spans="1:4">
      <c r="A495" s="24"/>
      <c r="B495" s="24"/>
      <c r="C495" s="24"/>
      <c r="D495" s="40"/>
    </row>
    <row r="496" customHeight="1" spans="1:4">
      <c r="A496" s="24"/>
      <c r="B496" s="24"/>
      <c r="C496" s="24"/>
      <c r="D496" s="40"/>
    </row>
    <row r="497" customHeight="1" spans="1:4">
      <c r="A497" s="24"/>
      <c r="B497" s="24"/>
      <c r="C497" s="24"/>
      <c r="D497" s="40"/>
    </row>
    <row r="498" customHeight="1" spans="1:4">
      <c r="A498" s="24"/>
      <c r="B498" s="24"/>
      <c r="C498" s="24"/>
      <c r="D498" s="40"/>
    </row>
    <row r="499" customHeight="1" spans="4:4">
      <c r="D499" s="40"/>
    </row>
    <row r="500" customHeight="1" spans="4:4">
      <c r="D500" s="40"/>
    </row>
    <row r="501" customHeight="1" spans="4:4">
      <c r="D501" s="40"/>
    </row>
    <row r="502" customHeight="1" spans="4:4">
      <c r="D502" s="40"/>
    </row>
    <row r="503" customHeight="1" spans="4:4">
      <c r="D503" s="40"/>
    </row>
    <row r="504" customHeight="1" spans="4:4">
      <c r="D504" s="40"/>
    </row>
    <row r="505" customHeight="1" spans="4:4">
      <c r="D505" s="40"/>
    </row>
    <row r="506" customHeight="1" spans="4:4">
      <c r="D506" s="40"/>
    </row>
    <row r="507" customHeight="1" spans="4:4">
      <c r="D507" s="40"/>
    </row>
    <row r="508" customHeight="1" spans="4:4">
      <c r="D508" s="40"/>
    </row>
    <row r="509" customHeight="1" spans="4:4">
      <c r="D509" s="40"/>
    </row>
    <row r="510" customHeight="1" spans="4:4">
      <c r="D510" s="40"/>
    </row>
    <row r="511" customHeight="1" spans="4:4">
      <c r="D511" s="40"/>
    </row>
    <row r="512" customHeight="1" spans="4:4">
      <c r="D512" s="40"/>
    </row>
    <row r="513" customHeight="1" spans="4:4">
      <c r="D513" s="40"/>
    </row>
    <row r="514" customHeight="1" spans="4:4">
      <c r="D514" s="40"/>
    </row>
    <row r="515" customHeight="1" spans="4:4">
      <c r="D515" s="40"/>
    </row>
    <row r="516" customHeight="1" spans="4:4">
      <c r="D516" s="40"/>
    </row>
    <row r="517" customHeight="1" spans="4:4">
      <c r="D517" s="40"/>
    </row>
    <row r="518" customHeight="1" spans="4:4">
      <c r="D518" s="40"/>
    </row>
    <row r="519" customHeight="1" spans="4:4">
      <c r="D519" s="40"/>
    </row>
    <row r="520" customHeight="1" spans="4:4">
      <c r="D520" s="40"/>
    </row>
    <row r="521" customHeight="1" spans="4:4">
      <c r="D521" s="40"/>
    </row>
    <row r="522" customHeight="1" spans="4:4">
      <c r="D522" s="40"/>
    </row>
    <row r="523" customHeight="1" spans="4:4">
      <c r="D523" s="40"/>
    </row>
    <row r="524" customHeight="1" spans="4:4">
      <c r="D524" s="40"/>
    </row>
    <row r="525" customHeight="1" spans="4:4">
      <c r="D525" s="40"/>
    </row>
    <row r="526" customHeight="1" spans="4:4">
      <c r="D526" s="40"/>
    </row>
    <row r="527" customHeight="1" spans="4:4">
      <c r="D527" s="40"/>
    </row>
    <row r="528" customHeight="1" spans="4:4">
      <c r="D528" s="40"/>
    </row>
    <row r="529" customHeight="1" spans="4:4">
      <c r="D529" s="40"/>
    </row>
    <row r="530" customHeight="1" spans="4:4">
      <c r="D530" s="40"/>
    </row>
    <row r="531" customHeight="1" spans="4:4">
      <c r="D531" s="40"/>
    </row>
    <row r="532" customHeight="1" spans="4:4">
      <c r="D532" s="40"/>
    </row>
    <row r="533" customHeight="1" spans="4:4">
      <c r="D533" s="40"/>
    </row>
    <row r="534" customHeight="1" spans="4:4">
      <c r="D534" s="40"/>
    </row>
    <row r="535" customHeight="1" spans="4:4">
      <c r="D535" s="40"/>
    </row>
    <row r="536" customHeight="1" spans="4:4">
      <c r="D536" s="40"/>
    </row>
    <row r="537" customHeight="1" spans="4:4">
      <c r="D537" s="40"/>
    </row>
    <row r="538" customHeight="1" spans="4:4">
      <c r="D538" s="40"/>
    </row>
    <row r="539" customHeight="1" spans="4:4">
      <c r="D539" s="40"/>
    </row>
    <row r="540" customHeight="1" spans="4:4">
      <c r="D540" s="40"/>
    </row>
    <row r="541" customHeight="1" spans="4:4">
      <c r="D541" s="40"/>
    </row>
    <row r="542" customHeight="1" spans="4:4">
      <c r="D542" s="40"/>
    </row>
    <row r="543" customHeight="1" spans="4:4">
      <c r="D543" s="40"/>
    </row>
    <row r="544" customHeight="1" spans="4:4">
      <c r="D544" s="40"/>
    </row>
    <row r="545" customHeight="1" spans="4:4">
      <c r="D545" s="40"/>
    </row>
    <row r="546" customHeight="1" spans="4:4">
      <c r="D546" s="40"/>
    </row>
    <row r="547" customHeight="1" spans="4:4">
      <c r="D547" s="40"/>
    </row>
    <row r="548" customHeight="1" spans="4:4">
      <c r="D548" s="40"/>
    </row>
    <row r="549" customHeight="1" spans="4:4">
      <c r="D549" s="40"/>
    </row>
    <row r="550" customHeight="1" spans="4:4">
      <c r="D550" s="40"/>
    </row>
    <row r="551" customHeight="1" spans="4:4">
      <c r="D551" s="40"/>
    </row>
    <row r="552" customHeight="1" spans="4:4">
      <c r="D552" s="40"/>
    </row>
    <row r="553" customHeight="1" spans="4:4">
      <c r="D553" s="40"/>
    </row>
    <row r="554" customHeight="1" spans="4:4">
      <c r="D554" s="40"/>
    </row>
    <row r="555" customHeight="1" spans="4:4">
      <c r="D555" s="40"/>
    </row>
    <row r="556" customHeight="1" spans="4:4">
      <c r="D556" s="40"/>
    </row>
    <row r="557" customHeight="1" spans="4:4">
      <c r="D557" s="40"/>
    </row>
    <row r="558" customHeight="1" spans="4:4">
      <c r="D558" s="40"/>
    </row>
    <row r="559" customHeight="1" spans="4:4">
      <c r="D559" s="40"/>
    </row>
    <row r="560" customHeight="1" spans="4:4">
      <c r="D560" s="40"/>
    </row>
    <row r="561" customHeight="1" spans="4:4">
      <c r="D561" s="40"/>
    </row>
    <row r="562" customHeight="1" spans="4:4">
      <c r="D562" s="40"/>
    </row>
    <row r="563" customHeight="1" spans="4:4">
      <c r="D563" s="40"/>
    </row>
    <row r="564" customHeight="1" spans="4:4">
      <c r="D564" s="40"/>
    </row>
    <row r="565" customHeight="1" spans="4:4">
      <c r="D565" s="40"/>
    </row>
    <row r="566" customHeight="1" spans="4:4">
      <c r="D566" s="40"/>
    </row>
    <row r="567" customHeight="1" spans="4:4">
      <c r="D567" s="40"/>
    </row>
    <row r="568" customHeight="1" spans="4:4">
      <c r="D568" s="40"/>
    </row>
    <row r="569" customHeight="1" spans="4:4">
      <c r="D569" s="40"/>
    </row>
    <row r="570" customHeight="1" spans="4:4">
      <c r="D570" s="40"/>
    </row>
    <row r="571" customHeight="1" spans="4:4">
      <c r="D571" s="40"/>
    </row>
    <row r="572" customHeight="1" spans="4:4">
      <c r="D572" s="40"/>
    </row>
    <row r="573" customHeight="1" spans="4:4">
      <c r="D573" s="40"/>
    </row>
    <row r="574" customHeight="1" spans="4:4">
      <c r="D574" s="40"/>
    </row>
    <row r="575" customHeight="1" spans="4:4">
      <c r="D575" s="40"/>
    </row>
    <row r="576" customHeight="1" spans="4:4">
      <c r="D576" s="40"/>
    </row>
    <row r="577" customHeight="1" spans="4:4">
      <c r="D577" s="40"/>
    </row>
    <row r="578" customHeight="1" spans="4:4">
      <c r="D578" s="40"/>
    </row>
    <row r="579" customHeight="1" spans="4:4">
      <c r="D579" s="40"/>
    </row>
    <row r="580" customHeight="1" spans="4:4">
      <c r="D580" s="40"/>
    </row>
    <row r="581" customHeight="1" spans="4:4">
      <c r="D581" s="40"/>
    </row>
    <row r="582" customHeight="1" spans="4:4">
      <c r="D582" s="40"/>
    </row>
    <row r="583" customHeight="1" spans="4:4">
      <c r="D583" s="40"/>
    </row>
    <row r="584" customHeight="1" spans="4:4">
      <c r="D584" s="40"/>
    </row>
    <row r="585" customHeight="1" spans="4:4">
      <c r="D585" s="40"/>
    </row>
    <row r="586" customHeight="1" spans="4:4">
      <c r="D586" s="40"/>
    </row>
    <row r="587" customHeight="1" spans="4:4">
      <c r="D587" s="40"/>
    </row>
    <row r="588" customHeight="1" spans="4:4">
      <c r="D588" s="40"/>
    </row>
    <row r="589" customHeight="1" spans="4:4">
      <c r="D589" s="40"/>
    </row>
    <row r="590" customHeight="1" spans="4:4">
      <c r="D590" s="40"/>
    </row>
    <row r="591" customHeight="1" spans="4:4">
      <c r="D591" s="40"/>
    </row>
    <row r="592" customHeight="1" spans="4:4">
      <c r="D592" s="40"/>
    </row>
    <row r="593" customHeight="1" spans="4:4">
      <c r="D593" s="40"/>
    </row>
    <row r="594" customHeight="1" spans="4:4">
      <c r="D594" s="40"/>
    </row>
    <row r="595" customHeight="1" spans="4:4">
      <c r="D595" s="40"/>
    </row>
    <row r="596" customHeight="1" spans="4:4">
      <c r="D596" s="40"/>
    </row>
    <row r="597" customHeight="1" spans="4:4">
      <c r="D597" s="40"/>
    </row>
    <row r="598" customHeight="1" spans="4:4">
      <c r="D598" s="40"/>
    </row>
    <row r="599" customHeight="1" spans="4:4">
      <c r="D599" s="40"/>
    </row>
    <row r="600" customHeight="1" spans="4:4">
      <c r="D600" s="40"/>
    </row>
    <row r="601" customHeight="1" spans="4:4">
      <c r="D601" s="40"/>
    </row>
    <row r="602" customHeight="1" spans="4:4">
      <c r="D602" s="40"/>
    </row>
    <row r="603" customHeight="1" spans="4:4">
      <c r="D603" s="40"/>
    </row>
    <row r="604" customHeight="1" spans="4:4">
      <c r="D604" s="40"/>
    </row>
    <row r="605" customHeight="1" spans="4:4">
      <c r="D605" s="40"/>
    </row>
    <row r="606" customHeight="1" spans="4:4">
      <c r="D606" s="40"/>
    </row>
    <row r="607" customHeight="1" spans="4:4">
      <c r="D607" s="40"/>
    </row>
    <row r="608" customHeight="1" spans="4:4">
      <c r="D608" s="40"/>
    </row>
    <row r="609" customHeight="1" spans="4:4">
      <c r="D609" s="40"/>
    </row>
    <row r="610" customHeight="1" spans="4:4">
      <c r="D610" s="40"/>
    </row>
    <row r="611" customHeight="1" spans="4:4">
      <c r="D611" s="40"/>
    </row>
    <row r="612" customHeight="1" spans="4:4">
      <c r="D612" s="40"/>
    </row>
    <row r="613" customHeight="1" spans="4:4">
      <c r="D613" s="40"/>
    </row>
    <row r="614" customHeight="1" spans="4:4">
      <c r="D614" s="40"/>
    </row>
    <row r="615" customHeight="1" spans="4:4">
      <c r="D615" s="40"/>
    </row>
    <row r="616" customHeight="1" spans="4:4">
      <c r="D616" s="40"/>
    </row>
    <row r="617" customHeight="1" spans="4:4">
      <c r="D617" s="40"/>
    </row>
    <row r="618" customHeight="1" spans="4:4">
      <c r="D618" s="40"/>
    </row>
    <row r="619" customHeight="1" spans="4:4">
      <c r="D619" s="40"/>
    </row>
    <row r="620" customHeight="1" spans="4:4">
      <c r="D620" s="40"/>
    </row>
    <row r="621" customHeight="1" spans="4:4">
      <c r="D621" s="40"/>
    </row>
    <row r="622" customHeight="1" spans="4:4">
      <c r="D622" s="40"/>
    </row>
    <row r="623" customHeight="1" spans="4:4">
      <c r="D623" s="40"/>
    </row>
    <row r="624" customHeight="1" spans="4:4">
      <c r="D624" s="40"/>
    </row>
    <row r="625" customHeight="1" spans="4:4">
      <c r="D625" s="40"/>
    </row>
    <row r="626" customHeight="1" spans="4:4">
      <c r="D626" s="40"/>
    </row>
    <row r="627" customHeight="1" spans="4:4">
      <c r="D627" s="40"/>
    </row>
    <row r="628" customHeight="1" spans="4:4">
      <c r="D628" s="40"/>
    </row>
    <row r="629" customHeight="1" spans="4:4">
      <c r="D629" s="40"/>
    </row>
    <row r="630" customHeight="1" spans="4:4">
      <c r="D630" s="40"/>
    </row>
    <row r="631" customHeight="1" spans="4:4">
      <c r="D631" s="40"/>
    </row>
    <row r="632" customHeight="1" spans="4:4">
      <c r="D632" s="40"/>
    </row>
    <row r="633" customHeight="1" spans="4:4">
      <c r="D633" s="40"/>
    </row>
    <row r="634" customHeight="1" spans="4:4">
      <c r="D634" s="40"/>
    </row>
    <row r="635" customHeight="1" spans="4:4">
      <c r="D635" s="40"/>
    </row>
    <row r="636" customHeight="1" spans="4:4">
      <c r="D636" s="40"/>
    </row>
    <row r="637" customHeight="1" spans="4:4">
      <c r="D637" s="40"/>
    </row>
    <row r="638" customHeight="1" spans="4:4">
      <c r="D638" s="40"/>
    </row>
    <row r="639" customHeight="1" spans="4:4">
      <c r="D639" s="40"/>
    </row>
    <row r="640" customHeight="1" spans="4:4">
      <c r="D640" s="40"/>
    </row>
    <row r="641" customHeight="1" spans="4:4">
      <c r="D641" s="40"/>
    </row>
    <row r="642" customHeight="1" spans="4:4">
      <c r="D642" s="40"/>
    </row>
    <row r="643" customHeight="1" spans="4:4">
      <c r="D643" s="40"/>
    </row>
    <row r="644" customHeight="1" spans="4:4">
      <c r="D644" s="40"/>
    </row>
    <row r="645" customHeight="1" spans="4:4">
      <c r="D645" s="40"/>
    </row>
    <row r="646" customHeight="1" spans="4:4">
      <c r="D646" s="40"/>
    </row>
    <row r="647" customHeight="1" spans="4:4">
      <c r="D647" s="40"/>
    </row>
    <row r="648" customHeight="1" spans="4:4">
      <c r="D648" s="40"/>
    </row>
    <row r="649" customHeight="1" spans="4:4">
      <c r="D649" s="40"/>
    </row>
    <row r="650" customHeight="1" spans="4:4">
      <c r="D650" s="40"/>
    </row>
    <row r="651" customHeight="1" spans="4:4">
      <c r="D651" s="40"/>
    </row>
    <row r="652" customHeight="1" spans="4:4">
      <c r="D652" s="40"/>
    </row>
    <row r="653" customHeight="1" spans="4:4">
      <c r="D653" s="40"/>
    </row>
    <row r="654" customHeight="1" spans="4:4">
      <c r="D654" s="40"/>
    </row>
    <row r="655" customHeight="1" spans="4:4">
      <c r="D655" s="40"/>
    </row>
    <row r="656" customHeight="1" spans="4:4">
      <c r="D656" s="40"/>
    </row>
    <row r="657" customHeight="1" spans="4:4">
      <c r="D657" s="40"/>
    </row>
    <row r="658" customHeight="1" spans="4:4">
      <c r="D658" s="40"/>
    </row>
    <row r="659" customHeight="1" spans="4:4">
      <c r="D659" s="40"/>
    </row>
    <row r="660" customHeight="1" spans="4:4">
      <c r="D660" s="40"/>
    </row>
    <row r="661" customHeight="1" spans="4:4">
      <c r="D661" s="40"/>
    </row>
    <row r="662" customHeight="1" spans="4:4">
      <c r="D662" s="40"/>
    </row>
    <row r="663" customHeight="1" spans="4:4">
      <c r="D663" s="40"/>
    </row>
    <row r="664" customHeight="1" spans="4:4">
      <c r="D664" s="40"/>
    </row>
    <row r="665" customHeight="1" spans="4:4">
      <c r="D665" s="40"/>
    </row>
    <row r="666" customHeight="1" spans="4:4">
      <c r="D666" s="40"/>
    </row>
    <row r="667" customHeight="1" spans="4:4">
      <c r="D667" s="40"/>
    </row>
    <row r="668" customHeight="1" spans="4:4">
      <c r="D668" s="40"/>
    </row>
    <row r="669" customHeight="1" spans="4:4">
      <c r="D669" s="40"/>
    </row>
    <row r="670" customHeight="1" spans="4:4">
      <c r="D670" s="40"/>
    </row>
    <row r="671" customHeight="1" spans="4:4">
      <c r="D671" s="40"/>
    </row>
    <row r="672" customHeight="1" spans="4:4">
      <c r="D672" s="40"/>
    </row>
    <row r="673" customHeight="1" spans="4:4">
      <c r="D673" s="40"/>
    </row>
    <row r="674" customHeight="1" spans="4:4">
      <c r="D674" s="40"/>
    </row>
    <row r="675" customHeight="1" spans="4:4">
      <c r="D675" s="40"/>
    </row>
    <row r="676" customHeight="1" spans="4:4">
      <c r="D676" s="40"/>
    </row>
    <row r="677" customHeight="1" spans="4:4">
      <c r="D677" s="40"/>
    </row>
    <row r="678" customHeight="1" spans="4:4">
      <c r="D678" s="40"/>
    </row>
    <row r="679" customHeight="1" spans="4:4">
      <c r="D679" s="40"/>
    </row>
    <row r="680" customHeight="1" spans="4:4">
      <c r="D680" s="40"/>
    </row>
    <row r="681" customHeight="1" spans="4:4">
      <c r="D681" s="40"/>
    </row>
    <row r="682" customHeight="1" spans="4:4">
      <c r="D682" s="40"/>
    </row>
    <row r="683" customHeight="1" spans="4:4">
      <c r="D683" s="40"/>
    </row>
    <row r="684" customHeight="1" spans="4:4">
      <c r="D684" s="40"/>
    </row>
    <row r="685" customHeight="1" spans="4:4">
      <c r="D685" s="40"/>
    </row>
    <row r="686" customHeight="1" spans="4:4">
      <c r="D686" s="40"/>
    </row>
    <row r="687" customHeight="1" spans="4:4">
      <c r="D687" s="40"/>
    </row>
    <row r="688" customHeight="1" spans="4:4">
      <c r="D688" s="40"/>
    </row>
    <row r="689" customHeight="1" spans="4:4">
      <c r="D689" s="40"/>
    </row>
    <row r="690" customHeight="1" spans="4:4">
      <c r="D690" s="40"/>
    </row>
    <row r="691" customHeight="1" spans="4:4">
      <c r="D691" s="40"/>
    </row>
    <row r="692" customHeight="1" spans="4:4">
      <c r="D692" s="40"/>
    </row>
    <row r="693" customHeight="1" spans="4:4">
      <c r="D693" s="40"/>
    </row>
    <row r="694" customHeight="1" spans="4:4">
      <c r="D694" s="40"/>
    </row>
    <row r="695" customHeight="1" spans="4:4">
      <c r="D695" s="40"/>
    </row>
    <row r="696" customHeight="1" spans="4:4">
      <c r="D696" s="40"/>
    </row>
    <row r="697" customHeight="1" spans="4:4">
      <c r="D697" s="40"/>
    </row>
    <row r="698" customHeight="1" spans="4:4">
      <c r="D698" s="40"/>
    </row>
    <row r="699" customHeight="1" spans="4:4">
      <c r="D699" s="40"/>
    </row>
    <row r="700" customHeight="1" spans="4:4">
      <c r="D700" s="40"/>
    </row>
    <row r="701" customHeight="1" spans="4:4">
      <c r="D701" s="40"/>
    </row>
    <row r="702" customHeight="1" spans="4:4">
      <c r="D702" s="40"/>
    </row>
    <row r="703" customHeight="1" spans="4:4">
      <c r="D703" s="40"/>
    </row>
    <row r="704" customHeight="1" spans="4:4">
      <c r="D704" s="40"/>
    </row>
    <row r="705" customHeight="1" spans="4:4">
      <c r="D705" s="40"/>
    </row>
    <row r="706" customHeight="1" spans="4:4">
      <c r="D706" s="40"/>
    </row>
    <row r="707" customHeight="1" spans="4:4">
      <c r="D707" s="40"/>
    </row>
    <row r="708" customHeight="1" spans="4:4">
      <c r="D708" s="40"/>
    </row>
    <row r="709" customHeight="1" spans="4:4">
      <c r="D709" s="40"/>
    </row>
    <row r="710" customHeight="1" spans="4:4">
      <c r="D710" s="40"/>
    </row>
    <row r="711" customHeight="1" spans="4:4">
      <c r="D711" s="40"/>
    </row>
    <row r="712" customHeight="1" spans="4:4">
      <c r="D712" s="40"/>
    </row>
    <row r="713" customHeight="1" spans="4:4">
      <c r="D713" s="40"/>
    </row>
    <row r="714" customHeight="1" spans="4:4">
      <c r="D714" s="40"/>
    </row>
    <row r="715" customHeight="1" spans="4:4">
      <c r="D715" s="40"/>
    </row>
    <row r="716" customHeight="1" spans="4:4">
      <c r="D716" s="40"/>
    </row>
    <row r="717" customHeight="1" spans="4:4">
      <c r="D717" s="40"/>
    </row>
    <row r="718" customHeight="1" spans="4:4">
      <c r="D718" s="40"/>
    </row>
    <row r="719" customHeight="1" spans="4:4">
      <c r="D719" s="40"/>
    </row>
    <row r="720" customHeight="1" spans="4:4">
      <c r="D720" s="40"/>
    </row>
    <row r="721" customHeight="1" spans="4:4">
      <c r="D721" s="40"/>
    </row>
    <row r="722" customHeight="1" spans="4:4">
      <c r="D722" s="40"/>
    </row>
    <row r="723" customHeight="1" spans="4:4">
      <c r="D723" s="40"/>
    </row>
    <row r="724" customHeight="1" spans="4:4">
      <c r="D724" s="40"/>
    </row>
    <row r="725" customHeight="1" spans="4:4">
      <c r="D725" s="40"/>
    </row>
    <row r="726" customHeight="1" spans="4:4">
      <c r="D726" s="40"/>
    </row>
    <row r="727" customHeight="1" spans="4:4">
      <c r="D727" s="40"/>
    </row>
    <row r="728" customHeight="1" spans="4:4">
      <c r="D728" s="40"/>
    </row>
    <row r="729" customHeight="1" spans="4:4">
      <c r="D729" s="40"/>
    </row>
    <row r="730" customHeight="1" spans="4:4">
      <c r="D730" s="40"/>
    </row>
    <row r="731" customHeight="1" spans="4:4">
      <c r="D731" s="40"/>
    </row>
    <row r="732" customHeight="1" spans="4:4">
      <c r="D732" s="40"/>
    </row>
    <row r="733" customHeight="1" spans="4:4">
      <c r="D733" s="40"/>
    </row>
    <row r="734" customHeight="1" spans="4:4">
      <c r="D734" s="40"/>
    </row>
    <row r="735" customHeight="1" spans="4:4">
      <c r="D735" s="40"/>
    </row>
    <row r="736" customHeight="1" spans="4:4">
      <c r="D736" s="40"/>
    </row>
    <row r="737" customHeight="1" spans="4:4">
      <c r="D737" s="40"/>
    </row>
    <row r="738" customHeight="1" spans="4:4">
      <c r="D738" s="40"/>
    </row>
    <row r="739" customHeight="1" spans="4:4">
      <c r="D739" s="40"/>
    </row>
    <row r="740" customHeight="1" spans="4:4">
      <c r="D740" s="40"/>
    </row>
    <row r="741" customHeight="1" spans="4:4">
      <c r="D741" s="40"/>
    </row>
    <row r="742" customHeight="1" spans="4:4">
      <c r="D742" s="40"/>
    </row>
    <row r="743" customHeight="1" spans="4:4">
      <c r="D743" s="40"/>
    </row>
    <row r="744" customHeight="1" spans="4:4">
      <c r="D744" s="40"/>
    </row>
    <row r="745" customHeight="1" spans="4:4">
      <c r="D745" s="40"/>
    </row>
    <row r="746" customHeight="1" spans="4:4">
      <c r="D746" s="40"/>
    </row>
    <row r="747" customHeight="1" spans="4:4">
      <c r="D747" s="40"/>
    </row>
    <row r="748" customHeight="1" spans="4:4">
      <c r="D748" s="40"/>
    </row>
    <row r="749" customHeight="1" spans="4:4">
      <c r="D749" s="40"/>
    </row>
    <row r="750" customHeight="1" spans="4:4">
      <c r="D750" s="40"/>
    </row>
    <row r="751" customHeight="1" spans="4:4">
      <c r="D751" s="40"/>
    </row>
    <row r="752" customHeight="1" spans="4:4">
      <c r="D752" s="40"/>
    </row>
    <row r="753" customHeight="1" spans="4:4">
      <c r="D753" s="40"/>
    </row>
    <row r="754" customHeight="1" spans="4:4">
      <c r="D754" s="40"/>
    </row>
    <row r="755" customHeight="1" spans="4:4">
      <c r="D755" s="40"/>
    </row>
    <row r="756" customHeight="1" spans="4:4">
      <c r="D756" s="40"/>
    </row>
    <row r="757" customHeight="1" spans="4:4">
      <c r="D757" s="40"/>
    </row>
    <row r="758" customHeight="1" spans="4:4">
      <c r="D758" s="40"/>
    </row>
    <row r="759" customHeight="1" spans="4:4">
      <c r="D759" s="40"/>
    </row>
    <row r="760" customHeight="1" spans="4:4">
      <c r="D760" s="40"/>
    </row>
    <row r="761" customHeight="1" spans="4:4">
      <c r="D761" s="40"/>
    </row>
    <row r="762" customHeight="1" spans="4:4">
      <c r="D762" s="40"/>
    </row>
    <row r="763" customHeight="1" spans="4:4">
      <c r="D763" s="40"/>
    </row>
    <row r="764" customHeight="1" spans="4:4">
      <c r="D764" s="40"/>
    </row>
    <row r="765" customHeight="1" spans="4:4">
      <c r="D765" s="40"/>
    </row>
    <row r="766" customHeight="1" spans="4:4">
      <c r="D766" s="40"/>
    </row>
    <row r="767" customHeight="1" spans="4:4">
      <c r="D767" s="40"/>
    </row>
    <row r="768" customHeight="1" spans="4:4">
      <c r="D768" s="40"/>
    </row>
    <row r="769" customHeight="1" spans="4:4">
      <c r="D769" s="40"/>
    </row>
    <row r="770" customHeight="1" spans="4:4">
      <c r="D770" s="40"/>
    </row>
    <row r="771" customHeight="1" spans="4:4">
      <c r="D771" s="40"/>
    </row>
    <row r="772" customHeight="1" spans="4:4">
      <c r="D772" s="40"/>
    </row>
    <row r="773" customHeight="1" spans="4:4">
      <c r="D773" s="40"/>
    </row>
    <row r="774" customHeight="1" spans="4:4">
      <c r="D774" s="40"/>
    </row>
    <row r="775" customHeight="1" spans="4:4">
      <c r="D775" s="40"/>
    </row>
    <row r="776" customHeight="1" spans="4:4">
      <c r="D776" s="40"/>
    </row>
    <row r="777" customHeight="1" spans="4:4">
      <c r="D777" s="40"/>
    </row>
    <row r="778" customHeight="1" spans="4:4">
      <c r="D778" s="40"/>
    </row>
    <row r="779" customHeight="1" spans="4:4">
      <c r="D779" s="40"/>
    </row>
    <row r="780" customHeight="1" spans="4:4">
      <c r="D780" s="40"/>
    </row>
    <row r="781" customHeight="1" spans="4:4">
      <c r="D781" s="40"/>
    </row>
    <row r="782" customHeight="1" spans="4:4">
      <c r="D782" s="40"/>
    </row>
    <row r="783" customHeight="1" spans="4:4">
      <c r="D783" s="40"/>
    </row>
    <row r="784" customHeight="1" spans="4:4">
      <c r="D784" s="40"/>
    </row>
    <row r="785" customHeight="1" spans="4:4">
      <c r="D785" s="40"/>
    </row>
    <row r="786" customHeight="1" spans="4:4">
      <c r="D786" s="40"/>
    </row>
    <row r="787" customHeight="1" spans="4:4">
      <c r="D787" s="40"/>
    </row>
    <row r="788" customHeight="1" spans="4:4">
      <c r="D788" s="40"/>
    </row>
    <row r="789" customHeight="1" spans="4:4">
      <c r="D789" s="40"/>
    </row>
    <row r="790" customHeight="1" spans="4:4">
      <c r="D790" s="40"/>
    </row>
    <row r="791" customHeight="1" spans="4:4">
      <c r="D791" s="40"/>
    </row>
    <row r="792" customHeight="1" spans="4:4">
      <c r="D792" s="40"/>
    </row>
    <row r="793" customHeight="1" spans="4:4">
      <c r="D793" s="40"/>
    </row>
    <row r="794" customHeight="1" spans="4:4">
      <c r="D794" s="40"/>
    </row>
    <row r="795" customHeight="1" spans="4:4">
      <c r="D795" s="40"/>
    </row>
    <row r="796" customHeight="1" spans="4:4">
      <c r="D796" s="40"/>
    </row>
    <row r="797" customHeight="1" spans="4:4">
      <c r="D797" s="40"/>
    </row>
    <row r="798" customHeight="1" spans="4:4">
      <c r="D798" s="40"/>
    </row>
    <row r="799" customHeight="1" spans="4:4">
      <c r="D799" s="40"/>
    </row>
    <row r="800" customHeight="1" spans="4:4">
      <c r="D800" s="40"/>
    </row>
    <row r="801" customHeight="1" spans="4:4">
      <c r="D801" s="40"/>
    </row>
    <row r="802" customHeight="1" spans="4:4">
      <c r="D802" s="40"/>
    </row>
    <row r="803" customHeight="1" spans="4:4">
      <c r="D803" s="40"/>
    </row>
    <row r="804" customHeight="1" spans="4:4">
      <c r="D804" s="40"/>
    </row>
    <row r="805" customHeight="1" spans="4:4">
      <c r="D805" s="40"/>
    </row>
    <row r="806" customHeight="1" spans="4:4">
      <c r="D806" s="40"/>
    </row>
    <row r="807" customHeight="1" spans="4:4">
      <c r="D807" s="40"/>
    </row>
    <row r="808" customHeight="1" spans="4:4">
      <c r="D808" s="40"/>
    </row>
    <row r="809" customHeight="1" spans="4:4">
      <c r="D809" s="40"/>
    </row>
    <row r="810" customHeight="1" spans="4:4">
      <c r="D810" s="40"/>
    </row>
    <row r="811" customHeight="1" spans="4:4">
      <c r="D811" s="40"/>
    </row>
    <row r="812" customHeight="1" spans="4:4">
      <c r="D812" s="40"/>
    </row>
    <row r="813" customHeight="1" spans="4:4">
      <c r="D813" s="40"/>
    </row>
    <row r="814" customHeight="1" spans="4:4">
      <c r="D814" s="40"/>
    </row>
    <row r="815" customHeight="1" spans="4:4">
      <c r="D815" s="40"/>
    </row>
    <row r="816" customHeight="1" spans="4:4">
      <c r="D816" s="40"/>
    </row>
    <row r="817" customHeight="1" spans="4:4">
      <c r="D817" s="40"/>
    </row>
    <row r="818" customHeight="1" spans="4:4">
      <c r="D818" s="40"/>
    </row>
    <row r="819" customHeight="1" spans="4:4">
      <c r="D819" s="40"/>
    </row>
    <row r="820" customHeight="1" spans="4:4">
      <c r="D820" s="40"/>
    </row>
    <row r="821" customHeight="1" spans="4:4">
      <c r="D821" s="40"/>
    </row>
    <row r="822" customHeight="1" spans="4:4">
      <c r="D822" s="40"/>
    </row>
    <row r="823" customHeight="1" spans="4:4">
      <c r="D823" s="40"/>
    </row>
    <row r="824" customHeight="1" spans="4:4">
      <c r="D824" s="40"/>
    </row>
    <row r="825" customHeight="1" spans="4:4">
      <c r="D825" s="40"/>
    </row>
    <row r="826" customHeight="1" spans="4:4">
      <c r="D826" s="40"/>
    </row>
    <row r="827" customHeight="1" spans="4:4">
      <c r="D827" s="40"/>
    </row>
    <row r="828" customHeight="1" spans="4:4">
      <c r="D828" s="40"/>
    </row>
    <row r="829" customHeight="1" spans="4:4">
      <c r="D829" s="40"/>
    </row>
    <row r="830" customHeight="1" spans="4:4">
      <c r="D830" s="40"/>
    </row>
    <row r="831" customHeight="1" spans="4:4">
      <c r="D831" s="40"/>
    </row>
    <row r="832" customHeight="1" spans="4:4">
      <c r="D832" s="40"/>
    </row>
    <row r="833" customHeight="1" spans="4:4">
      <c r="D833" s="40"/>
    </row>
    <row r="834" customHeight="1" spans="4:4">
      <c r="D834" s="40"/>
    </row>
    <row r="835" customHeight="1" spans="4:4">
      <c r="D835" s="40"/>
    </row>
    <row r="836" customHeight="1" spans="4:4">
      <c r="D836" s="40"/>
    </row>
    <row r="837" customHeight="1" spans="4:4">
      <c r="D837" s="40"/>
    </row>
    <row r="838" customHeight="1" spans="4:4">
      <c r="D838" s="40"/>
    </row>
    <row r="839" customHeight="1" spans="4:4">
      <c r="D839" s="40"/>
    </row>
    <row r="840" customHeight="1" spans="4:4">
      <c r="D840" s="40"/>
    </row>
    <row r="841" customHeight="1" spans="4:4">
      <c r="D841" s="40"/>
    </row>
    <row r="842" customHeight="1" spans="4:4">
      <c r="D842" s="40"/>
    </row>
    <row r="843" customHeight="1" spans="4:4">
      <c r="D843" s="40"/>
    </row>
    <row r="844" customHeight="1" spans="4:4">
      <c r="D844" s="40"/>
    </row>
    <row r="845" customHeight="1" spans="4:4">
      <c r="D845" s="40"/>
    </row>
    <row r="846" customHeight="1" spans="4:4">
      <c r="D846" s="40"/>
    </row>
    <row r="847" customHeight="1" spans="4:4">
      <c r="D847" s="40"/>
    </row>
    <row r="848" customHeight="1" spans="4:4">
      <c r="D848" s="40"/>
    </row>
    <row r="849" customHeight="1" spans="4:4">
      <c r="D849" s="40"/>
    </row>
    <row r="850" customHeight="1" spans="4:4">
      <c r="D850" s="40"/>
    </row>
    <row r="851" customHeight="1" spans="4:4">
      <c r="D851" s="40"/>
    </row>
    <row r="852" customHeight="1" spans="4:4">
      <c r="D852" s="40"/>
    </row>
    <row r="853" customHeight="1" spans="4:4">
      <c r="D853" s="40"/>
    </row>
    <row r="854" customHeight="1" spans="4:4">
      <c r="D854" s="40"/>
    </row>
    <row r="855" customHeight="1" spans="4:4">
      <c r="D855" s="40"/>
    </row>
    <row r="856" customHeight="1" spans="4:4">
      <c r="D856" s="40"/>
    </row>
    <row r="857" customHeight="1" spans="4:4">
      <c r="D857" s="40"/>
    </row>
    <row r="858" customHeight="1" spans="4:4">
      <c r="D858" s="40"/>
    </row>
    <row r="859" customHeight="1" spans="4:4">
      <c r="D859" s="40"/>
    </row>
    <row r="860" customHeight="1" spans="4:4">
      <c r="D860" s="40"/>
    </row>
    <row r="861" customHeight="1" spans="4:4">
      <c r="D861" s="40"/>
    </row>
    <row r="862" customHeight="1" spans="4:4">
      <c r="D862" s="40"/>
    </row>
    <row r="863" customHeight="1" spans="4:4">
      <c r="D863" s="40"/>
    </row>
    <row r="864" customHeight="1" spans="4:4">
      <c r="D864" s="40"/>
    </row>
    <row r="865" customHeight="1" spans="4:4">
      <c r="D865" s="40"/>
    </row>
    <row r="866" customHeight="1" spans="4:4">
      <c r="D866" s="40"/>
    </row>
    <row r="867" customHeight="1" spans="4:4">
      <c r="D867" s="40"/>
    </row>
    <row r="868" customHeight="1" spans="4:4">
      <c r="D868" s="40"/>
    </row>
    <row r="869" customHeight="1" spans="4:4">
      <c r="D869" s="40"/>
    </row>
    <row r="870" customHeight="1" spans="4:4">
      <c r="D870" s="40"/>
    </row>
    <row r="871" customHeight="1" spans="4:4">
      <c r="D871" s="40"/>
    </row>
    <row r="872" customHeight="1" spans="4:4">
      <c r="D872" s="40"/>
    </row>
    <row r="873" customHeight="1" spans="4:4">
      <c r="D873" s="40"/>
    </row>
    <row r="874" customHeight="1" spans="4:4">
      <c r="D874" s="40"/>
    </row>
    <row r="875" customHeight="1" spans="4:4">
      <c r="D875" s="40"/>
    </row>
    <row r="876" customHeight="1" spans="4:4">
      <c r="D876" s="40"/>
    </row>
    <row r="877" customHeight="1" spans="4:4">
      <c r="D877" s="40"/>
    </row>
    <row r="878" customHeight="1" spans="4:4">
      <c r="D878" s="40"/>
    </row>
    <row r="879" customHeight="1" spans="4:4">
      <c r="D879" s="40"/>
    </row>
    <row r="880" customHeight="1" spans="4:4">
      <c r="D880" s="40"/>
    </row>
    <row r="881" customHeight="1" spans="4:4">
      <c r="D881" s="40"/>
    </row>
    <row r="882" customHeight="1" spans="4:4">
      <c r="D882" s="40"/>
    </row>
    <row r="883" customHeight="1" spans="4:4">
      <c r="D883" s="40"/>
    </row>
    <row r="884" customHeight="1" spans="4:4">
      <c r="D884" s="40"/>
    </row>
    <row r="885" customHeight="1" spans="4:4">
      <c r="D885" s="40"/>
    </row>
    <row r="886" customHeight="1" spans="4:4">
      <c r="D886" s="40"/>
    </row>
    <row r="887" customHeight="1" spans="4:4">
      <c r="D887" s="40"/>
    </row>
    <row r="888" customHeight="1" spans="4:4">
      <c r="D888" s="40"/>
    </row>
    <row r="889" customHeight="1" spans="4:4">
      <c r="D889" s="40"/>
    </row>
    <row r="890" customHeight="1" spans="4:4">
      <c r="D890" s="40"/>
    </row>
    <row r="891" customHeight="1" spans="4:4">
      <c r="D891" s="40"/>
    </row>
    <row r="892" customHeight="1" spans="4:4">
      <c r="D892" s="40"/>
    </row>
    <row r="893" customHeight="1" spans="4:4">
      <c r="D893" s="40"/>
    </row>
    <row r="894" customHeight="1" spans="4:4">
      <c r="D894" s="40"/>
    </row>
    <row r="895" customHeight="1" spans="4:4">
      <c r="D895" s="40"/>
    </row>
    <row r="896" customHeight="1" spans="4:4">
      <c r="D896" s="40"/>
    </row>
    <row r="897" customHeight="1" spans="4:4">
      <c r="D897" s="40"/>
    </row>
    <row r="898" customHeight="1" spans="4:4">
      <c r="D898" s="40"/>
    </row>
    <row r="899" customHeight="1" spans="4:4">
      <c r="D899" s="40"/>
    </row>
    <row r="900" customHeight="1" spans="4:4">
      <c r="D900" s="40"/>
    </row>
    <row r="901" customHeight="1" spans="4:4">
      <c r="D901" s="40"/>
    </row>
    <row r="902" customHeight="1" spans="4:4">
      <c r="D902" s="40"/>
    </row>
    <row r="903" customHeight="1" spans="4:4">
      <c r="D903" s="40"/>
    </row>
    <row r="904" customHeight="1" spans="4:4">
      <c r="D904" s="40"/>
    </row>
    <row r="905" customHeight="1" spans="4:4">
      <c r="D905" s="40"/>
    </row>
    <row r="906" customHeight="1" spans="4:4">
      <c r="D906" s="40"/>
    </row>
    <row r="907" customHeight="1" spans="4:4">
      <c r="D907" s="40"/>
    </row>
    <row r="908" customHeight="1" spans="4:4">
      <c r="D908" s="40"/>
    </row>
    <row r="909" customHeight="1" spans="4:4">
      <c r="D909" s="40"/>
    </row>
    <row r="910" customHeight="1" spans="4:4">
      <c r="D910" s="40"/>
    </row>
    <row r="911" customHeight="1" spans="4:4">
      <c r="D911" s="40"/>
    </row>
    <row r="912" customHeight="1" spans="4:4">
      <c r="D912" s="40"/>
    </row>
    <row r="913" customHeight="1" spans="4:4">
      <c r="D913" s="40"/>
    </row>
    <row r="914" customHeight="1" spans="4:4">
      <c r="D914" s="40"/>
    </row>
    <row r="915" customHeight="1" spans="4:4">
      <c r="D915" s="40"/>
    </row>
    <row r="916" customHeight="1" spans="4:4">
      <c r="D916" s="40"/>
    </row>
    <row r="917" customHeight="1" spans="4:4">
      <c r="D917" s="40"/>
    </row>
    <row r="918" customHeight="1" spans="4:4">
      <c r="D918" s="40"/>
    </row>
    <row r="919" customHeight="1" spans="4:4">
      <c r="D919" s="40"/>
    </row>
    <row r="920" customHeight="1" spans="4:4">
      <c r="D920" s="40"/>
    </row>
    <row r="921" customHeight="1" spans="4:4">
      <c r="D921" s="40"/>
    </row>
    <row r="922" customHeight="1" spans="4:4">
      <c r="D922" s="40"/>
    </row>
    <row r="923" customHeight="1" spans="4:4">
      <c r="D923" s="40"/>
    </row>
    <row r="924" customHeight="1" spans="4:4">
      <c r="D924" s="40"/>
    </row>
    <row r="925" customHeight="1" spans="4:4">
      <c r="D925" s="40"/>
    </row>
    <row r="926" customHeight="1" spans="4:4">
      <c r="D926" s="40"/>
    </row>
    <row r="927" customHeight="1" spans="4:4">
      <c r="D927" s="40"/>
    </row>
    <row r="928" customHeight="1" spans="4:4">
      <c r="D928" s="40"/>
    </row>
    <row r="929" customHeight="1" spans="4:4">
      <c r="D929" s="40"/>
    </row>
    <row r="930" customHeight="1" spans="4:4">
      <c r="D930" s="40"/>
    </row>
    <row r="931" customHeight="1" spans="4:4">
      <c r="D931" s="40"/>
    </row>
    <row r="932" customHeight="1" spans="4:4">
      <c r="D932" s="40"/>
    </row>
    <row r="933" customHeight="1" spans="4:4">
      <c r="D933" s="40"/>
    </row>
    <row r="934" customHeight="1" spans="4:4">
      <c r="D934" s="40"/>
    </row>
    <row r="935" customHeight="1" spans="4:4">
      <c r="D935" s="40"/>
    </row>
    <row r="936" customHeight="1" spans="4:4">
      <c r="D936" s="40"/>
    </row>
    <row r="937" customHeight="1" spans="4:4">
      <c r="D937" s="40"/>
    </row>
    <row r="938" customHeight="1" spans="4:4">
      <c r="D938" s="40"/>
    </row>
    <row r="939" customHeight="1" spans="4:4">
      <c r="D939" s="40"/>
    </row>
    <row r="940" customHeight="1" spans="4:4">
      <c r="D940" s="40"/>
    </row>
    <row r="941" customHeight="1" spans="4:4">
      <c r="D941" s="40"/>
    </row>
    <row r="942" customHeight="1" spans="4:4">
      <c r="D942" s="40"/>
    </row>
    <row r="943" customHeight="1" spans="4:4">
      <c r="D943" s="40"/>
    </row>
    <row r="944" customHeight="1" spans="4:4">
      <c r="D944" s="40"/>
    </row>
    <row r="945" customHeight="1" spans="4:4">
      <c r="D945" s="40"/>
    </row>
    <row r="946" customHeight="1" spans="4:4">
      <c r="D946" s="40"/>
    </row>
    <row r="947" customHeight="1" spans="4:4">
      <c r="D947" s="40"/>
    </row>
    <row r="948" customHeight="1" spans="4:4">
      <c r="D948" s="40"/>
    </row>
    <row r="949" customHeight="1" spans="4:4">
      <c r="D949" s="40"/>
    </row>
    <row r="950" customHeight="1" spans="4:4">
      <c r="D950" s="40"/>
    </row>
    <row r="951" customHeight="1" spans="4:4">
      <c r="D951" s="40"/>
    </row>
    <row r="952" customHeight="1" spans="4:4">
      <c r="D952" s="40"/>
    </row>
    <row r="953" customHeight="1" spans="4:4">
      <c r="D953" s="40"/>
    </row>
    <row r="954" customHeight="1" spans="4:4">
      <c r="D954" s="40"/>
    </row>
    <row r="955" customHeight="1" spans="4:4">
      <c r="D955" s="40"/>
    </row>
    <row r="956" customHeight="1" spans="4:4">
      <c r="D956" s="40"/>
    </row>
    <row r="957" customHeight="1" spans="4:4">
      <c r="D957" s="40"/>
    </row>
    <row r="958" customHeight="1" spans="4:4">
      <c r="D958" s="40"/>
    </row>
    <row r="959" customHeight="1" spans="4:4">
      <c r="D959" s="40"/>
    </row>
    <row r="960" customHeight="1" spans="4:4">
      <c r="D960" s="40"/>
    </row>
    <row r="961" customHeight="1" spans="4:4">
      <c r="D961" s="40"/>
    </row>
    <row r="962" customHeight="1" spans="4:4">
      <c r="D962" s="40"/>
    </row>
    <row r="963" customHeight="1" spans="4:4">
      <c r="D963" s="40"/>
    </row>
    <row r="964" customHeight="1" spans="4:4">
      <c r="D964" s="40"/>
    </row>
    <row r="965" customHeight="1" spans="4:4">
      <c r="D965" s="40"/>
    </row>
    <row r="966" customHeight="1" spans="4:4">
      <c r="D966" s="40"/>
    </row>
    <row r="967" customHeight="1" spans="4:4">
      <c r="D967" s="40"/>
    </row>
    <row r="968" customHeight="1" spans="4:4">
      <c r="D968" s="40"/>
    </row>
    <row r="969" customHeight="1" spans="4:4">
      <c r="D969" s="40"/>
    </row>
    <row r="970" customHeight="1" spans="4:4">
      <c r="D970" s="40"/>
    </row>
    <row r="971" customHeight="1" spans="4:4">
      <c r="D971" s="40"/>
    </row>
    <row r="972" customHeight="1" spans="4:4">
      <c r="D972" s="40"/>
    </row>
    <row r="973" customHeight="1" spans="4:4">
      <c r="D973" s="40"/>
    </row>
    <row r="974" customHeight="1" spans="4:4">
      <c r="D974" s="40"/>
    </row>
    <row r="975" customHeight="1" spans="4:4">
      <c r="D975" s="40"/>
    </row>
    <row r="976" customHeight="1" spans="4:4">
      <c r="D976" s="40"/>
    </row>
    <row r="977" customHeight="1" spans="4:4">
      <c r="D977" s="40"/>
    </row>
    <row r="978" customHeight="1" spans="4:4">
      <c r="D978" s="40"/>
    </row>
    <row r="979" customHeight="1" spans="4:4">
      <c r="D979" s="40"/>
    </row>
    <row r="980" customHeight="1" spans="4:4">
      <c r="D980" s="40"/>
    </row>
    <row r="981" customHeight="1" spans="4:4">
      <c r="D981" s="40"/>
    </row>
    <row r="982" customHeight="1" spans="4:4">
      <c r="D982" s="40"/>
    </row>
    <row r="983" customHeight="1" spans="4:4">
      <c r="D983" s="40"/>
    </row>
    <row r="984" customHeight="1" spans="4:4">
      <c r="D984" s="40"/>
    </row>
    <row r="985" customHeight="1" spans="4:4">
      <c r="D985" s="40"/>
    </row>
    <row r="986" customHeight="1" spans="4:4">
      <c r="D986" s="40"/>
    </row>
    <row r="987" customHeight="1" spans="4:4">
      <c r="D987" s="40"/>
    </row>
    <row r="988" customHeight="1" spans="4:4">
      <c r="D988" s="40"/>
    </row>
    <row r="989" customHeight="1" spans="4:4">
      <c r="D989" s="40"/>
    </row>
    <row r="990" customHeight="1" spans="4:4">
      <c r="D990" s="40"/>
    </row>
    <row r="991" customHeight="1" spans="4:4">
      <c r="D991" s="40"/>
    </row>
    <row r="992" customHeight="1" spans="4:4">
      <c r="D992" s="40"/>
    </row>
    <row r="993" customHeight="1" spans="4:4">
      <c r="D993" s="40"/>
    </row>
    <row r="994" customHeight="1" spans="4:4">
      <c r="D994" s="40"/>
    </row>
    <row r="995" customHeight="1" spans="4:4">
      <c r="D995" s="40"/>
    </row>
    <row r="996" customHeight="1" spans="4:4">
      <c r="D996" s="40"/>
    </row>
    <row r="997" customHeight="1" spans="4:4">
      <c r="D997" s="40"/>
    </row>
    <row r="998" customHeight="1" spans="4:4">
      <c r="D998" s="40"/>
    </row>
    <row r="999" customHeight="1" spans="4:4">
      <c r="D999" s="40"/>
    </row>
    <row r="1000" customHeight="1" spans="4:4">
      <c r="D1000" s="40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D67" sqref="A2:A67 D2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7" t="s">
        <v>28</v>
      </c>
      <c r="B1" s="28" t="s">
        <v>32</v>
      </c>
      <c r="C1" s="28" t="s">
        <v>35</v>
      </c>
      <c r="D1" s="28" t="s">
        <v>39</v>
      </c>
    </row>
    <row r="2" customHeight="1" spans="1:4">
      <c r="A2" s="29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 t="str">
        <f>IFERROR(__xludf.DUMMYFUNCTION("IMPORTRANGE(""https://docs.google.com/spreadsheets/d/1eaVzK6FcHCiSWH6vlneKycaHdBQH67V1d-FjgY0Xsl4/edit?gid=2039965616#gid=2039965616"",""报价汇总!i4:k500"")"),"")</f>
        <v/>
      </c>
      <c r="C2" s="30" t="str">
        <f>IFERROR(__xludf.DUMMYFUNCTION("""COMPUTED_VALUE"""),"")</f>
        <v/>
      </c>
      <c r="D2" s="30" t="str">
        <f>IFERROR(__xludf.DUMMYFUNCTION("""COMPUTED_VALUE"""),"")</f>
        <v/>
      </c>
    </row>
    <row r="3" customHeight="1" spans="1:11">
      <c r="A3" s="29" t="str">
        <f>IFERROR(__xludf.DUMMYFUNCTION("""COMPUTED_VALUE"""),"iPhone 11 128G")</f>
        <v>iPhone 11 128G</v>
      </c>
      <c r="B3" s="30">
        <f>IFERROR(__xludf.DUMMYFUNCTION("""COMPUTED_VALUE"""),164.764116183034)</f>
        <v>164.764116183034</v>
      </c>
      <c r="C3" s="30">
        <f>IFERROR(__xludf.DUMMYFUNCTION("""COMPUTED_VALUE"""),170.325774113263)</f>
        <v>170.325774113263</v>
      </c>
      <c r="D3" s="30">
        <f>IFERROR(__xludf.DUMMYFUNCTION("""COMPUTED_VALUE"""),170.325774113263)</f>
        <v>170.325774113263</v>
      </c>
      <c r="F3" s="31" t="s">
        <v>40</v>
      </c>
      <c r="G3" s="32"/>
      <c r="H3" s="32"/>
      <c r="I3" s="32"/>
      <c r="J3" s="32"/>
      <c r="K3" s="34"/>
    </row>
    <row r="4" customHeight="1" spans="1:11">
      <c r="A4" s="29" t="str">
        <f>IFERROR(__xludf.DUMMYFUNCTION("""COMPUTED_VALUE"""),"iPhone 11 256G")</f>
        <v>iPhone 11 256G</v>
      </c>
      <c r="B4" s="30">
        <f>IFERROR(__xludf.DUMMYFUNCTION("""COMPUTED_VALUE"""),188.401162386507)</f>
        <v>188.401162386507</v>
      </c>
      <c r="C4" s="30">
        <f>IFERROR(__xludf.DUMMYFUNCTION("""COMPUTED_VALUE"""),184.229918938835)</f>
        <v>184.229918938835</v>
      </c>
      <c r="D4" s="30">
        <f>IFERROR(__xludf.DUMMYFUNCTION("""COMPUTED_VALUE"""),184.229918938835)</f>
        <v>184.229918938835</v>
      </c>
      <c r="F4" s="32"/>
      <c r="G4" s="32"/>
      <c r="H4" s="32"/>
      <c r="I4" s="32"/>
      <c r="J4" s="32"/>
      <c r="K4" s="34"/>
    </row>
    <row r="5" customHeight="1" spans="1:11">
      <c r="A5" s="29" t="str">
        <f>IFERROR(__xludf.DUMMYFUNCTION("""COMPUTED_VALUE"""),"iPhone 11 Pro 64G")</f>
        <v>iPhone 11 Pro 64G</v>
      </c>
      <c r="B5" s="30" t="str">
        <f>IFERROR(__xludf.DUMMYFUNCTION("""COMPUTED_VALUE"""),"")</f>
        <v/>
      </c>
      <c r="C5" s="30" t="str">
        <f>IFERROR(__xludf.DUMMYFUNCTION("""COMPUTED_VALUE"""),"")</f>
        <v/>
      </c>
      <c r="D5" s="30" t="str">
        <f>IFERROR(__xludf.DUMMYFUNCTION("""COMPUTED_VALUE"""),"")</f>
        <v/>
      </c>
      <c r="F5" s="32"/>
      <c r="G5" s="32"/>
      <c r="H5" s="32"/>
      <c r="I5" s="32"/>
      <c r="J5" s="32"/>
      <c r="K5" s="34"/>
    </row>
    <row r="6" customHeight="1" spans="1:11">
      <c r="A6" s="29" t="str">
        <f>IFERROR(__xludf.DUMMYFUNCTION("""COMPUTED_VALUE"""),"iPhone 11 Pro 256G")</f>
        <v>iPhone 11 Pro 256G</v>
      </c>
      <c r="B6" s="30" t="str">
        <f>IFERROR(__xludf.DUMMYFUNCTION("""COMPUTED_VALUE"""),"")</f>
        <v/>
      </c>
      <c r="C6" s="30" t="str">
        <f>IFERROR(__xludf.DUMMYFUNCTION("""COMPUTED_VALUE"""),"")</f>
        <v/>
      </c>
      <c r="D6" s="30" t="str">
        <f>IFERROR(__xludf.DUMMYFUNCTION("""COMPUTED_VALUE"""),"")</f>
        <v/>
      </c>
      <c r="F6" s="32"/>
      <c r="G6" s="32"/>
      <c r="H6" s="32"/>
      <c r="I6" s="32"/>
      <c r="J6" s="32"/>
      <c r="K6" s="34"/>
    </row>
    <row r="7" customHeight="1" spans="1:11">
      <c r="A7" s="29" t="str">
        <f>IFERROR(__xludf.DUMMYFUNCTION("""COMPUTED_VALUE"""),"iPhone 11 Pro 512G")</f>
        <v>iPhone 11 Pro 512G</v>
      </c>
      <c r="B7" s="30" t="str">
        <f>IFERROR(__xludf.DUMMYFUNCTION("""COMPUTED_VALUE"""),"")</f>
        <v/>
      </c>
      <c r="C7" s="30" t="str">
        <f>IFERROR(__xludf.DUMMYFUNCTION("""COMPUTED_VALUE"""),"")</f>
        <v/>
      </c>
      <c r="D7" s="30" t="str">
        <f>IFERROR(__xludf.DUMMYFUNCTION("""COMPUTED_VALUE"""),"")</f>
        <v/>
      </c>
      <c r="F7" s="32"/>
      <c r="G7" s="32"/>
      <c r="H7" s="32"/>
      <c r="I7" s="32"/>
      <c r="J7" s="32"/>
      <c r="K7" s="34"/>
    </row>
    <row r="8" customHeight="1" spans="1:11">
      <c r="A8" s="29" t="str">
        <f>IFERROR(__xludf.DUMMYFUNCTION("""COMPUTED_VALUE"""),"iPhone 11 Pro Max 64G")</f>
        <v>iPhone 11 Pro Max 64G</v>
      </c>
      <c r="B8" s="30" t="str">
        <f>IFERROR(__xludf.DUMMYFUNCTION("""COMPUTED_VALUE"""),"")</f>
        <v/>
      </c>
      <c r="C8" s="30" t="str">
        <f>IFERROR(__xludf.DUMMYFUNCTION("""COMPUTED_VALUE"""),"")</f>
        <v/>
      </c>
      <c r="D8" s="30" t="str">
        <f>IFERROR(__xludf.DUMMYFUNCTION("""COMPUTED_VALUE"""),"")</f>
        <v/>
      </c>
      <c r="F8" s="32"/>
      <c r="G8" s="32"/>
      <c r="H8" s="32"/>
      <c r="I8" s="32"/>
      <c r="J8" s="32"/>
      <c r="K8" s="34"/>
    </row>
    <row r="9" customHeight="1" spans="1:11">
      <c r="A9" s="29" t="str">
        <f>IFERROR(__xludf.DUMMYFUNCTION("""COMPUTED_VALUE"""),"iPhone 11 Pro Max 256G")</f>
        <v>iPhone 11 Pro Max 256G</v>
      </c>
      <c r="B9" s="30" t="str">
        <f>IFERROR(__xludf.DUMMYFUNCTION("""COMPUTED_VALUE"""),"")</f>
        <v/>
      </c>
      <c r="C9" s="30" t="str">
        <f>IFERROR(__xludf.DUMMYFUNCTION("""COMPUTED_VALUE"""),"")</f>
        <v/>
      </c>
      <c r="D9" s="30" t="str">
        <f>IFERROR(__xludf.DUMMYFUNCTION("""COMPUTED_VALUE"""),"")</f>
        <v/>
      </c>
      <c r="F9" s="32"/>
      <c r="G9" s="32"/>
      <c r="H9" s="32"/>
      <c r="I9" s="32"/>
      <c r="J9" s="32"/>
      <c r="K9" s="34"/>
    </row>
    <row r="10" customHeight="1" spans="1:11">
      <c r="A10" s="29" t="str">
        <f>IFERROR(__xludf.DUMMYFUNCTION("""COMPUTED_VALUE"""),"iPhone 11 Pro Max 512G")</f>
        <v>iPhone 11 Pro Max 512G</v>
      </c>
      <c r="B10" s="30" t="str">
        <f>IFERROR(__xludf.DUMMYFUNCTION("""COMPUTED_VALUE"""),"")</f>
        <v/>
      </c>
      <c r="C10" s="30" t="str">
        <f>IFERROR(__xludf.DUMMYFUNCTION("""COMPUTED_VALUE"""),"")</f>
        <v/>
      </c>
      <c r="D10" s="30" t="str">
        <f>IFERROR(__xludf.DUMMYFUNCTION("""COMPUTED_VALUE"""),"")</f>
        <v/>
      </c>
      <c r="F10" s="32"/>
      <c r="G10" s="32"/>
      <c r="H10" s="32"/>
      <c r="I10" s="32"/>
      <c r="J10" s="32"/>
      <c r="K10" s="34"/>
    </row>
    <row r="11" customHeight="1" spans="1:11">
      <c r="A11" s="29" t="str">
        <f>IFERROR(__xludf.DUMMYFUNCTION("""COMPUTED_VALUE"""),"iPhone 12 64G")</f>
        <v>iPhone 12 64G</v>
      </c>
      <c r="B11" s="30">
        <f>IFERROR(__xludf.DUMMYFUNCTION("""COMPUTED_VALUE"""),170.464815561518)</f>
        <v>170.464815561518</v>
      </c>
      <c r="C11" s="30">
        <f>IFERROR(__xludf.DUMMYFUNCTION("""COMPUTED_VALUE"""),178.807302456862)</f>
        <v>178.807302456862</v>
      </c>
      <c r="D11" s="30">
        <f>IFERROR(__xludf.DUMMYFUNCTION("""COMPUTED_VALUE"""),177.416887974305)</f>
        <v>177.416887974305</v>
      </c>
      <c r="F11" s="32"/>
      <c r="G11" s="32"/>
      <c r="H11" s="32"/>
      <c r="I11" s="32"/>
      <c r="J11" s="32"/>
      <c r="K11" s="34"/>
    </row>
    <row r="12" customHeight="1" spans="1:11">
      <c r="A12" s="29" t="str">
        <f>IFERROR(__xludf.DUMMYFUNCTION("""COMPUTED_VALUE"""),"iPhone 12 128G")</f>
        <v>iPhone 12 128G</v>
      </c>
      <c r="B12" s="30">
        <f>IFERROR(__xludf.DUMMYFUNCTION("""COMPUTED_VALUE"""),189.93061831732)</f>
        <v>189.93061831732</v>
      </c>
      <c r="C12" s="30">
        <f>IFERROR(__xludf.DUMMYFUNCTION("""COMPUTED_VALUE"""),195.492276247549)</f>
        <v>195.492276247549</v>
      </c>
      <c r="D12" s="30">
        <f>IFERROR(__xludf.DUMMYFUNCTION("""COMPUTED_VALUE"""),195.492276247549)</f>
        <v>195.492276247549</v>
      </c>
      <c r="F12" s="32"/>
      <c r="G12" s="32"/>
      <c r="H12" s="32"/>
      <c r="I12" s="32"/>
      <c r="J12" s="32"/>
      <c r="K12" s="34"/>
    </row>
    <row r="13" customHeight="1" spans="1:11">
      <c r="A13" s="29" t="str">
        <f>IFERROR(__xludf.DUMMYFUNCTION("""COMPUTED_VALUE"""),"iPhone 12 256G")</f>
        <v>iPhone 12 256G</v>
      </c>
      <c r="B13" s="30">
        <f>IFERROR(__xludf.DUMMYFUNCTION("""COMPUTED_VALUE"""),203.834763142892)</f>
        <v>203.834763142892</v>
      </c>
      <c r="C13" s="30" t="str">
        <f>IFERROR(__xludf.DUMMYFUNCTION("""COMPUTED_VALUE"""),"")</f>
        <v/>
      </c>
      <c r="D13" s="30" t="str">
        <f>IFERROR(__xludf.DUMMYFUNCTION("""COMPUTED_VALUE"""),"")</f>
        <v/>
      </c>
      <c r="F13" s="32"/>
      <c r="G13" s="32"/>
      <c r="H13" s="32"/>
      <c r="I13" s="32"/>
      <c r="J13" s="32"/>
      <c r="K13" s="34"/>
    </row>
    <row r="14" customHeight="1" spans="1:11">
      <c r="A14" s="29" t="str">
        <f>IFERROR(__xludf.DUMMYFUNCTION("""COMPUTED_VALUE"""),"iPhone 12 mini 64G")</f>
        <v>iPhone 12 mini 64G</v>
      </c>
      <c r="B14" s="30">
        <f>IFERROR(__xludf.DUMMYFUNCTION("""COMPUTED_VALUE"""),143.907898944675)</f>
        <v>143.907898944675</v>
      </c>
      <c r="C14" s="30">
        <f>IFERROR(__xludf.DUMMYFUNCTION("""COMPUTED_VALUE"""),148.079142392347)</f>
        <v>148.079142392347</v>
      </c>
      <c r="D14" s="30">
        <f>IFERROR(__xludf.DUMMYFUNCTION("""COMPUTED_VALUE"""),148.079142392347)</f>
        <v>148.079142392347</v>
      </c>
      <c r="F14" s="32"/>
      <c r="G14" s="32"/>
      <c r="H14" s="32"/>
      <c r="I14" s="32"/>
      <c r="J14" s="32"/>
      <c r="K14" s="34"/>
    </row>
    <row r="15" customHeight="1" spans="1:11">
      <c r="A15" s="29" t="str">
        <f>IFERROR(__xludf.DUMMYFUNCTION("""COMPUTED_VALUE"""),"iPhone 12 mini 128G")</f>
        <v>iPhone 12 mini 128G</v>
      </c>
      <c r="B15" s="30">
        <f>IFERROR(__xludf.DUMMYFUNCTION("""COMPUTED_VALUE"""),157.812043770247)</f>
        <v>157.812043770247</v>
      </c>
      <c r="C15" s="30">
        <f>IFERROR(__xludf.DUMMYFUNCTION("""COMPUTED_VALUE"""),160.592872735362)</f>
        <v>160.592872735362</v>
      </c>
      <c r="D15" s="30">
        <f>IFERROR(__xludf.DUMMYFUNCTION("""COMPUTED_VALUE"""),160.592872735362)</f>
        <v>160.592872735362</v>
      </c>
      <c r="F15" s="32"/>
      <c r="G15" s="32"/>
      <c r="H15" s="32"/>
      <c r="I15" s="32"/>
      <c r="J15" s="32"/>
      <c r="K15" s="34"/>
    </row>
    <row r="16" customHeight="1" spans="1:11">
      <c r="A16" s="29" t="str">
        <f>IFERROR(__xludf.DUMMYFUNCTION("""COMPUTED_VALUE"""),"iPhone 12 mini 256G")</f>
        <v>iPhone 12 mini 256G</v>
      </c>
      <c r="B16" s="30">
        <f>IFERROR(__xludf.DUMMYFUNCTION("""COMPUTED_VALUE"""),174.497017560934)</f>
        <v>174.497017560934</v>
      </c>
      <c r="C16" s="30">
        <f>IFERROR(__xludf.DUMMYFUNCTION("""COMPUTED_VALUE"""),180.058675491163)</f>
        <v>180.058675491163</v>
      </c>
      <c r="D16" s="30">
        <f>IFERROR(__xludf.DUMMYFUNCTION("""COMPUTED_VALUE"""),180.058675491163)</f>
        <v>180.058675491163</v>
      </c>
      <c r="F16" s="32"/>
      <c r="G16" s="32"/>
      <c r="H16" s="32"/>
      <c r="I16" s="32"/>
      <c r="J16" s="32"/>
      <c r="K16" s="34"/>
    </row>
    <row r="17" customHeight="1" spans="1:11">
      <c r="A17" s="29" t="str">
        <f>IFERROR(__xludf.DUMMYFUNCTION("""COMPUTED_VALUE"""),"iPhone 12 Pro 128G")</f>
        <v>iPhone 12 Pro 128G</v>
      </c>
      <c r="B17" s="30">
        <f>IFERROR(__xludf.DUMMYFUNCTION("""COMPUTED_VALUE"""),238.456083758568)</f>
        <v>238.456083758568</v>
      </c>
      <c r="C17" s="30">
        <f>IFERROR(__xludf.DUMMYFUNCTION("""COMPUTED_VALUE"""),238.456083758568)</f>
        <v>238.456083758568</v>
      </c>
      <c r="D17" s="30">
        <f>IFERROR(__xludf.DUMMYFUNCTION("""COMPUTED_VALUE"""),241.236912723682)</f>
        <v>241.236912723682</v>
      </c>
      <c r="F17" s="32"/>
      <c r="G17" s="32"/>
      <c r="H17" s="32"/>
      <c r="I17" s="32"/>
      <c r="J17" s="32"/>
      <c r="K17" s="34"/>
    </row>
    <row r="18" customHeight="1" spans="1:11">
      <c r="A18" s="29" t="str">
        <f>IFERROR(__xludf.DUMMYFUNCTION("""COMPUTED_VALUE"""),"iPhone 12 Pro 256G")</f>
        <v>iPhone 12 Pro 256G</v>
      </c>
      <c r="B18" s="30">
        <f>IFERROR(__xludf.DUMMYFUNCTION("""COMPUTED_VALUE"""),266.264373409713)</f>
        <v>266.264373409713</v>
      </c>
      <c r="C18" s="30">
        <f>IFERROR(__xludf.DUMMYFUNCTION("""COMPUTED_VALUE"""),259.312300996927)</f>
        <v>259.312300996927</v>
      </c>
      <c r="D18" s="30">
        <f>IFERROR(__xludf.DUMMYFUNCTION("""COMPUTED_VALUE"""),262.093129962041)</f>
        <v>262.093129962041</v>
      </c>
      <c r="F18" s="32"/>
      <c r="G18" s="32"/>
      <c r="H18" s="32"/>
      <c r="I18" s="32"/>
      <c r="J18" s="32"/>
      <c r="K18" s="34"/>
    </row>
    <row r="19" customHeight="1" spans="1:11">
      <c r="A19" s="29" t="str">
        <f>IFERROR(__xludf.DUMMYFUNCTION("""COMPUTED_VALUE"""),"iPhone 12 Pro 512G")</f>
        <v>iPhone 12 Pro 512G</v>
      </c>
      <c r="B19" s="30" t="str">
        <f>IFERROR(__xludf.DUMMYFUNCTION("""COMPUTED_VALUE"""),"")</f>
        <v/>
      </c>
      <c r="C19" s="30" t="str">
        <f>IFERROR(__xludf.DUMMYFUNCTION("""COMPUTED_VALUE"""),"")</f>
        <v/>
      </c>
      <c r="D19" s="30" t="str">
        <f>IFERROR(__xludf.DUMMYFUNCTION("""COMPUTED_VALUE"""),"")</f>
        <v/>
      </c>
      <c r="F19" s="32"/>
      <c r="G19" s="32"/>
      <c r="H19" s="32"/>
      <c r="I19" s="32"/>
      <c r="J19" s="32"/>
      <c r="K19" s="34"/>
    </row>
    <row r="20" customHeight="1" spans="1:11">
      <c r="A20" s="29" t="str">
        <f>IFERROR(__xludf.DUMMYFUNCTION("""COMPUTED_VALUE"""),"iPhone 12 Pro Max 128G")</f>
        <v>iPhone 12 Pro Max 128G</v>
      </c>
      <c r="B20" s="30">
        <f>IFERROR(__xludf.DUMMYFUNCTION("""COMPUTED_VALUE"""),307.281600645152)</f>
        <v>307.281600645152</v>
      </c>
      <c r="C20" s="30">
        <f>IFERROR(__xludf.DUMMYFUNCTION("""COMPUTED_VALUE"""),311.452844092824)</f>
        <v>311.452844092824</v>
      </c>
      <c r="D20" s="30">
        <f>IFERROR(__xludf.DUMMYFUNCTION("""COMPUTED_VALUE"""),314.233673057938)</f>
        <v>314.233673057938</v>
      </c>
      <c r="F20" s="32"/>
      <c r="G20" s="32"/>
      <c r="H20" s="32"/>
      <c r="I20" s="32"/>
      <c r="J20" s="32"/>
      <c r="K20" s="34"/>
    </row>
    <row r="21" customHeight="1" spans="1:11">
      <c r="A21" s="29" t="str">
        <f>IFERROR(__xludf.DUMMYFUNCTION("""COMPUTED_VALUE"""),"iPhone 12 Pro Max 256G")</f>
        <v>iPhone 12 Pro Max 256G</v>
      </c>
      <c r="B21" s="30">
        <f>IFERROR(__xludf.DUMMYFUNCTION("""COMPUTED_VALUE"""),335.089890296297)</f>
        <v>335.089890296297</v>
      </c>
      <c r="C21" s="30">
        <f>IFERROR(__xludf.DUMMYFUNCTION("""COMPUTED_VALUE"""),339.261133743969)</f>
        <v>339.261133743969</v>
      </c>
      <c r="D21" s="30">
        <f>IFERROR(__xludf.DUMMYFUNCTION("""COMPUTED_VALUE"""),335.089890296297)</f>
        <v>335.089890296297</v>
      </c>
      <c r="F21" s="32"/>
      <c r="G21" s="32"/>
      <c r="H21" s="32"/>
      <c r="I21" s="32"/>
      <c r="J21" s="32"/>
      <c r="K21" s="34"/>
    </row>
    <row r="22" customHeight="1" spans="1:11">
      <c r="A22" s="29" t="str">
        <f>IFERROR(__xludf.DUMMYFUNCTION("""COMPUTED_VALUE"""),"iPhone 12 Pro Max 512G")</f>
        <v>iPhone 12 Pro Max 512G</v>
      </c>
      <c r="B22" s="30" t="str">
        <f>IFERROR(__xludf.DUMMYFUNCTION("""COMPUTED_VALUE"""),"")</f>
        <v/>
      </c>
      <c r="C22" s="30" t="str">
        <f>IFERROR(__xludf.DUMMYFUNCTION("""COMPUTED_VALUE"""),"")</f>
        <v/>
      </c>
      <c r="D22" s="30" t="str">
        <f>IFERROR(__xludf.DUMMYFUNCTION("""COMPUTED_VALUE"""),"")</f>
        <v/>
      </c>
      <c r="F22" s="33"/>
      <c r="G22" s="33"/>
      <c r="H22" s="33"/>
      <c r="I22" s="34"/>
      <c r="J22" s="34"/>
      <c r="K22" s="34"/>
    </row>
    <row r="23" customHeight="1" spans="1:11">
      <c r="A23" s="29" t="str">
        <f>IFERROR(__xludf.DUMMYFUNCTION("""COMPUTED_VALUE"""),"iPhone 13 128G")</f>
        <v>iPhone 13 128G</v>
      </c>
      <c r="B23" s="30">
        <f>IFERROR(__xludf.DUMMYFUNCTION("""COMPUTED_VALUE"""),275.997274787614)</f>
        <v>275.997274787614</v>
      </c>
      <c r="C23" s="30">
        <f>IFERROR(__xludf.DUMMYFUNCTION("""COMPUTED_VALUE"""),277.387689270171)</f>
        <v>277.387689270171</v>
      </c>
      <c r="D23" s="30">
        <f>IFERROR(__xludf.DUMMYFUNCTION("""COMPUTED_VALUE"""),278.778103752728)</f>
        <v>278.778103752728</v>
      </c>
      <c r="F23" s="33"/>
      <c r="G23" s="33"/>
      <c r="H23" s="33"/>
      <c r="I23" s="34"/>
      <c r="J23" s="34"/>
      <c r="K23" s="34"/>
    </row>
    <row r="24" customHeight="1" spans="1:11">
      <c r="A24" s="29" t="str">
        <f>IFERROR(__xludf.DUMMYFUNCTION("""COMPUTED_VALUE"""),"iPhone 13 256G")</f>
        <v>iPhone 13 256G</v>
      </c>
      <c r="B24" s="30">
        <f>IFERROR(__xludf.DUMMYFUNCTION("""COMPUTED_VALUE"""),296.853492025973)</f>
        <v>296.853492025973</v>
      </c>
      <c r="C24" s="30">
        <f>IFERROR(__xludf.DUMMYFUNCTION("""COMPUTED_VALUE"""),307.97680788643)</f>
        <v>307.97680788643</v>
      </c>
      <c r="D24" s="30">
        <f>IFERROR(__xludf.DUMMYFUNCTION("""COMPUTED_VALUE"""),307.97680788643)</f>
        <v>307.97680788643</v>
      </c>
      <c r="F24" s="31" t="s">
        <v>34</v>
      </c>
      <c r="G24" s="32"/>
      <c r="H24" s="32"/>
      <c r="I24" s="32"/>
      <c r="J24" s="32"/>
      <c r="K24" s="32"/>
    </row>
    <row r="25" customHeight="1" spans="1:11">
      <c r="A25" s="29" t="str">
        <f>IFERROR(__xludf.DUMMYFUNCTION("""COMPUTED_VALUE"""),"iPhone 13 512G")</f>
        <v>iPhone 13 512G</v>
      </c>
      <c r="B25" s="30" t="str">
        <f>IFERROR(__xludf.DUMMYFUNCTION("""COMPUTED_VALUE"""),"")</f>
        <v/>
      </c>
      <c r="C25" s="30" t="str">
        <f>IFERROR(__xludf.DUMMYFUNCTION("""COMPUTED_VALUE"""),"")</f>
        <v/>
      </c>
      <c r="D25" s="30" t="str">
        <f>IFERROR(__xludf.DUMMYFUNCTION("""COMPUTED_VALUE"""),"")</f>
        <v/>
      </c>
      <c r="F25" s="32"/>
      <c r="G25" s="32"/>
      <c r="H25" s="32"/>
      <c r="I25" s="32"/>
      <c r="J25" s="32"/>
      <c r="K25" s="32"/>
    </row>
    <row r="26" customHeight="1" spans="1:11">
      <c r="A26" s="29" t="str">
        <f>IFERROR(__xludf.DUMMYFUNCTION("""COMPUTED_VALUE"""),"iPhone 13 mini 128G")</f>
        <v>iPhone 13 mini 128G</v>
      </c>
      <c r="B26" s="30">
        <f>IFERROR(__xludf.DUMMYFUNCTION("""COMPUTED_VALUE"""),224.969063277763)</f>
        <v>224.969063277763</v>
      </c>
      <c r="C26" s="30">
        <f>IFERROR(__xludf.DUMMYFUNCTION("""COMPUTED_VALUE"""),230.530721207992)</f>
        <v>230.530721207992</v>
      </c>
      <c r="D26" s="30">
        <f>IFERROR(__xludf.DUMMYFUNCTION("""COMPUTED_VALUE"""),230.530721207992)</f>
        <v>230.530721207992</v>
      </c>
      <c r="F26" s="32"/>
      <c r="G26" s="32"/>
      <c r="H26" s="32"/>
      <c r="I26" s="32"/>
      <c r="J26" s="32"/>
      <c r="K26" s="32"/>
    </row>
    <row r="27" customHeight="1" spans="1:11">
      <c r="A27" s="29" t="str">
        <f>IFERROR(__xludf.DUMMYFUNCTION("""COMPUTED_VALUE"""),"iPhone 13 mini 256G")</f>
        <v>iPhone 13 mini 256G</v>
      </c>
      <c r="B27" s="30">
        <f>IFERROR(__xludf.DUMMYFUNCTION("""COMPUTED_VALUE"""),255.697223342278)</f>
        <v>255.697223342278</v>
      </c>
      <c r="C27" s="30">
        <f>IFERROR(__xludf.DUMMYFUNCTION("""COMPUTED_VALUE"""),266.820539202736)</f>
        <v>266.820539202736</v>
      </c>
      <c r="D27" s="30">
        <f>IFERROR(__xludf.DUMMYFUNCTION("""COMPUTED_VALUE"""),266.820539202736)</f>
        <v>266.820539202736</v>
      </c>
      <c r="F27" s="32"/>
      <c r="G27" s="32"/>
      <c r="H27" s="32"/>
      <c r="I27" s="32"/>
      <c r="J27" s="32"/>
      <c r="K27" s="32"/>
    </row>
    <row r="28" customHeight="1" spans="1:11">
      <c r="A28" s="29" t="str">
        <f>IFERROR(__xludf.DUMMYFUNCTION("""COMPUTED_VALUE"""),"iPhone 13 mini 512G")</f>
        <v>iPhone 13 mini 512G</v>
      </c>
      <c r="B28" s="30" t="str">
        <f>IFERROR(__xludf.DUMMYFUNCTION("""COMPUTED_VALUE"""),"")</f>
        <v/>
      </c>
      <c r="C28" s="30" t="str">
        <f>IFERROR(__xludf.DUMMYFUNCTION("""COMPUTED_VALUE"""),"")</f>
        <v/>
      </c>
      <c r="D28" s="30" t="str">
        <f>IFERROR(__xludf.DUMMYFUNCTION("""COMPUTED_VALUE"""),"")</f>
        <v/>
      </c>
      <c r="F28" s="32"/>
      <c r="G28" s="32"/>
      <c r="H28" s="32"/>
      <c r="I28" s="32"/>
      <c r="J28" s="32"/>
      <c r="K28" s="32"/>
    </row>
    <row r="29" customHeight="1" spans="1:11">
      <c r="A29" s="29" t="str">
        <f>IFERROR(__xludf.DUMMYFUNCTION("""COMPUTED_VALUE"""),"iPhone 13 Pro 128G")</f>
        <v>iPhone 13 Pro 128G</v>
      </c>
      <c r="B29" s="30">
        <f>IFERROR(__xludf.DUMMYFUNCTION("""COMPUTED_VALUE"""),369.155045118949)</f>
        <v>369.155045118949</v>
      </c>
      <c r="C29" s="30">
        <f>IFERROR(__xludf.DUMMYFUNCTION("""COMPUTED_VALUE"""),373.326288566621)</f>
        <v>373.326288566621</v>
      </c>
      <c r="D29" s="30">
        <f>IFERROR(__xludf.DUMMYFUNCTION("""COMPUTED_VALUE"""),373.326288566621)</f>
        <v>373.326288566621</v>
      </c>
      <c r="F29" s="32"/>
      <c r="G29" s="32"/>
      <c r="H29" s="32"/>
      <c r="I29" s="32"/>
      <c r="J29" s="32"/>
      <c r="K29" s="32"/>
    </row>
    <row r="30" customHeight="1" spans="1:11">
      <c r="A30" s="29" t="str">
        <f>IFERROR(__xludf.DUMMYFUNCTION("""COMPUTED_VALUE"""),"iPhone 13 Pro 256G")</f>
        <v>iPhone 13 Pro 256G</v>
      </c>
      <c r="B30" s="30">
        <f>IFERROR(__xludf.DUMMYFUNCTION("""COMPUTED_VALUE"""),403.915407182881)</f>
        <v>403.915407182881</v>
      </c>
      <c r="C30" s="30">
        <f>IFERROR(__xludf.DUMMYFUNCTION("""COMPUTED_VALUE"""),401.134578217766)</f>
        <v>401.134578217766</v>
      </c>
      <c r="D30" s="30">
        <f>IFERROR(__xludf.DUMMYFUNCTION("""COMPUTED_VALUE"""),401.134578217766)</f>
        <v>401.134578217766</v>
      </c>
      <c r="F30" s="32"/>
      <c r="G30" s="32"/>
      <c r="H30" s="32"/>
      <c r="I30" s="32"/>
      <c r="J30" s="32"/>
      <c r="K30" s="32"/>
    </row>
    <row r="31" customHeight="1" spans="1:11">
      <c r="A31" s="29" t="str">
        <f>IFERROR(__xludf.DUMMYFUNCTION("""COMPUTED_VALUE"""),"iPhone 13 Pro 512G")</f>
        <v>iPhone 13 Pro 512G</v>
      </c>
      <c r="B31" s="30" t="str">
        <f>IFERROR(__xludf.DUMMYFUNCTION("""COMPUTED_VALUE"""),"")</f>
        <v/>
      </c>
      <c r="C31" s="30" t="str">
        <f>IFERROR(__xludf.DUMMYFUNCTION("""COMPUTED_VALUE"""),"")</f>
        <v/>
      </c>
      <c r="D31" s="30" t="str">
        <f>IFERROR(__xludf.DUMMYFUNCTION("""COMPUTED_VALUE"""),"")</f>
        <v/>
      </c>
      <c r="F31" s="32"/>
      <c r="G31" s="32"/>
      <c r="H31" s="32"/>
      <c r="I31" s="32"/>
      <c r="J31" s="32"/>
      <c r="K31" s="32"/>
    </row>
    <row r="32" customHeight="1" spans="1:11">
      <c r="A32" s="29" t="str">
        <f>IFERROR(__xludf.DUMMYFUNCTION("""COMPUTED_VALUE"""),"iPhone 13 Pro 1T")</f>
        <v>iPhone 13 Pro 1T</v>
      </c>
      <c r="B32" s="30" t="str">
        <f>IFERROR(__xludf.DUMMYFUNCTION("""COMPUTED_VALUE"""),"")</f>
        <v/>
      </c>
      <c r="C32" s="30" t="str">
        <f>IFERROR(__xludf.DUMMYFUNCTION("""COMPUTED_VALUE"""),"")</f>
        <v/>
      </c>
      <c r="D32" s="30" t="str">
        <f>IFERROR(__xludf.DUMMYFUNCTION("""COMPUTED_VALUE"""),"")</f>
        <v/>
      </c>
      <c r="F32" s="32"/>
      <c r="G32" s="32"/>
      <c r="H32" s="32"/>
      <c r="I32" s="32"/>
      <c r="J32" s="32"/>
      <c r="K32" s="32"/>
    </row>
    <row r="33" customHeight="1" spans="1:11">
      <c r="A33" s="29" t="str">
        <f>IFERROR(__xludf.DUMMYFUNCTION("""COMPUTED_VALUE"""),"iPhone 13 Pro Max 128G")</f>
        <v>iPhone 13 Pro Max 128G</v>
      </c>
      <c r="B33" s="30">
        <f>IFERROR(__xludf.DUMMYFUNCTION("""COMPUTED_VALUE"""),405.305821665438)</f>
        <v>405.305821665438</v>
      </c>
      <c r="C33" s="30">
        <f>IFERROR(__xludf.DUMMYFUNCTION("""COMPUTED_VALUE"""),405.305821665438)</f>
        <v>405.305821665438</v>
      </c>
      <c r="D33" s="30">
        <f>IFERROR(__xludf.DUMMYFUNCTION("""COMPUTED_VALUE"""),405.305821665438)</f>
        <v>405.305821665438</v>
      </c>
      <c r="F33" s="32"/>
      <c r="G33" s="32"/>
      <c r="H33" s="32"/>
      <c r="I33" s="32"/>
      <c r="J33" s="32"/>
      <c r="K33" s="32"/>
    </row>
    <row r="34" customHeight="1" spans="1:11">
      <c r="A34" s="29" t="str">
        <f>IFERROR(__xludf.DUMMYFUNCTION("""COMPUTED_VALUE"""),"iPhone 13 Pro Max 256G")</f>
        <v>iPhone 13 Pro Max 256G</v>
      </c>
      <c r="B34" s="30">
        <f>IFERROR(__xludf.DUMMYFUNCTION("""COMPUTED_VALUE"""),467.874473380514)</f>
        <v>467.874473380514</v>
      </c>
      <c r="C34" s="30">
        <f>IFERROR(__xludf.DUMMYFUNCTION("""COMPUTED_VALUE"""),465.0936444154)</f>
        <v>465.0936444154</v>
      </c>
      <c r="D34" s="30">
        <f>IFERROR(__xludf.DUMMYFUNCTION("""COMPUTED_VALUE"""),465.0936444154)</f>
        <v>465.0936444154</v>
      </c>
      <c r="F34" s="32"/>
      <c r="G34" s="32"/>
      <c r="H34" s="32"/>
      <c r="I34" s="32"/>
      <c r="J34" s="32"/>
      <c r="K34" s="32"/>
    </row>
    <row r="35" customHeight="1" spans="1:11">
      <c r="A35" s="29" t="str">
        <f>IFERROR(__xludf.DUMMYFUNCTION("""COMPUTED_VALUE"""),"iPhone 13 Pro Max 512G")</f>
        <v>iPhone 13 Pro Max 512G</v>
      </c>
      <c r="B35" s="30" t="str">
        <f>IFERROR(__xludf.DUMMYFUNCTION("""COMPUTED_VALUE"""),"")</f>
        <v/>
      </c>
      <c r="C35" s="30" t="str">
        <f>IFERROR(__xludf.DUMMYFUNCTION("""COMPUTED_VALUE"""),"")</f>
        <v/>
      </c>
      <c r="D35" s="30" t="str">
        <f>IFERROR(__xludf.DUMMYFUNCTION("""COMPUTED_VALUE"""),"")</f>
        <v/>
      </c>
      <c r="F35" s="32"/>
      <c r="G35" s="32"/>
      <c r="H35" s="32"/>
      <c r="I35" s="32"/>
      <c r="J35" s="32"/>
      <c r="K35" s="32"/>
    </row>
    <row r="36" customHeight="1" spans="1:4">
      <c r="A36" s="29" t="str">
        <f>IFERROR(__xludf.DUMMYFUNCTION("""COMPUTED_VALUE"""),"iPhone 13 Pro Max 1T")</f>
        <v>iPhone 13 Pro Max 1T</v>
      </c>
      <c r="B36" s="30" t="str">
        <f>IFERROR(__xludf.DUMMYFUNCTION("""COMPUTED_VALUE"""),"")</f>
        <v/>
      </c>
      <c r="C36" s="30" t="str">
        <f>IFERROR(__xludf.DUMMYFUNCTION("""COMPUTED_VALUE"""),"")</f>
        <v/>
      </c>
      <c r="D36" s="30" t="str">
        <f>IFERROR(__xludf.DUMMYFUNCTION("""COMPUTED_VALUE"""),"")</f>
        <v/>
      </c>
    </row>
    <row r="37" customHeight="1" spans="1:4">
      <c r="A37" s="29" t="str">
        <f>IFERROR(__xludf.DUMMYFUNCTION("""COMPUTED_VALUE"""),"iPhone 14 128G")</f>
        <v>iPhone 14 128G</v>
      </c>
      <c r="B37" s="30">
        <f>IFERROR(__xludf.DUMMYFUNCTION("""COMPUTED_VALUE"""),323.27136719456)</f>
        <v>323.27136719456</v>
      </c>
      <c r="C37" s="30">
        <f>IFERROR(__xludf.DUMMYFUNCTION("""COMPUTED_VALUE"""),301.719942714923)</f>
        <v>301.719942714923</v>
      </c>
      <c r="D37" s="30">
        <f>IFERROR(__xludf.DUMMYFUNCTION("""COMPUTED_VALUE"""),319.100123746888)</f>
        <v>319.100123746888</v>
      </c>
    </row>
    <row r="38" customHeight="1" spans="1:4">
      <c r="A38" s="29" t="str">
        <f>IFERROR(__xludf.DUMMYFUNCTION("""COMPUTED_VALUE"""),"iPhone 14 256G")</f>
        <v>iPhone 14 256G</v>
      </c>
      <c r="B38" s="30">
        <f>IFERROR(__xludf.DUMMYFUNCTION("""COMPUTED_VALUE"""),367.764630636392)</f>
        <v>367.764630636392</v>
      </c>
      <c r="C38" s="30">
        <f>IFERROR(__xludf.DUMMYFUNCTION("""COMPUTED_VALUE"""),343.43237719164)</f>
        <v>343.43237719164</v>
      </c>
      <c r="D38" s="30">
        <f>IFERROR(__xludf.DUMMYFUNCTION("""COMPUTED_VALUE"""),360.812558223606)</f>
        <v>360.812558223606</v>
      </c>
    </row>
    <row r="39" customHeight="1" spans="1:4">
      <c r="A39" s="29" t="str">
        <f>IFERROR(__xludf.DUMMYFUNCTION("""COMPUTED_VALUE"""),"iPhone 14 512G")</f>
        <v>iPhone 14 512G</v>
      </c>
      <c r="B39" s="30" t="str">
        <f>IFERROR(__xludf.DUMMYFUNCTION("""COMPUTED_VALUE"""),"")</f>
        <v/>
      </c>
      <c r="C39" s="30" t="str">
        <f>IFERROR(__xludf.DUMMYFUNCTION("""COMPUTED_VALUE"""),"")</f>
        <v/>
      </c>
      <c r="D39" s="30" t="str">
        <f>IFERROR(__xludf.DUMMYFUNCTION("""COMPUTED_VALUE"""),"")</f>
        <v/>
      </c>
    </row>
    <row r="40" customHeight="1" spans="1:4">
      <c r="A40" s="29" t="str">
        <f>IFERROR(__xludf.DUMMYFUNCTION("""COMPUTED_VALUE"""),"iPhone 14 Plus 128G")</f>
        <v>iPhone 14 Plus 128G</v>
      </c>
      <c r="B40" s="30">
        <f>IFERROR(__xludf.DUMMYFUNCTION("""COMPUTED_VALUE"""),341.346755467804)</f>
        <v>341.346755467804</v>
      </c>
      <c r="C40" s="30">
        <f>IFERROR(__xludf.DUMMYFUNCTION("""COMPUTED_VALUE"""),317.014502023053)</f>
        <v>317.014502023053</v>
      </c>
      <c r="D40" s="30">
        <f>IFERROR(__xludf.DUMMYFUNCTION("""COMPUTED_VALUE"""),341.346755467804)</f>
        <v>341.346755467804</v>
      </c>
    </row>
    <row r="41" customHeight="1" spans="1:4">
      <c r="A41" s="29" t="str">
        <f>IFERROR(__xludf.DUMMYFUNCTION("""COMPUTED_VALUE"""),"iPhone 14 Plus 256G")</f>
        <v>iPhone 14 Plus 256G</v>
      </c>
      <c r="B41" s="30">
        <f>IFERROR(__xludf.DUMMYFUNCTION("""COMPUTED_VALUE"""),369.155045118949)</f>
        <v>369.155045118949</v>
      </c>
      <c r="C41" s="30">
        <f>IFERROR(__xludf.DUMMYFUNCTION("""COMPUTED_VALUE"""),365.679008912556)</f>
        <v>365.679008912556</v>
      </c>
      <c r="D41" s="30">
        <f>IFERROR(__xludf.DUMMYFUNCTION("""COMPUTED_VALUE"""),376.107117531736)</f>
        <v>376.107117531736</v>
      </c>
    </row>
    <row r="42" customHeight="1" spans="1:4">
      <c r="A42" s="29" t="str">
        <f>IFERROR(__xludf.DUMMYFUNCTION("""COMPUTED_VALUE"""),"iPhone 14 Plus 512G")</f>
        <v>iPhone 14 Plus 512G</v>
      </c>
      <c r="B42" s="30" t="str">
        <f>IFERROR(__xludf.DUMMYFUNCTION("""COMPUTED_VALUE"""),"")</f>
        <v/>
      </c>
      <c r="C42" s="30" t="str">
        <f>IFERROR(__xludf.DUMMYFUNCTION("""COMPUTED_VALUE"""),"")</f>
        <v/>
      </c>
      <c r="D42" s="30" t="str">
        <f>IFERROR(__xludf.DUMMYFUNCTION("""COMPUTED_VALUE"""),"")</f>
        <v/>
      </c>
    </row>
    <row r="43" customHeight="1" spans="1:4">
      <c r="A43" s="29" t="str">
        <f>IFERROR(__xludf.DUMMYFUNCTION("""COMPUTED_VALUE"""),"iPhone 14 Pro 128G")</f>
        <v>iPhone 14 Pro 128G</v>
      </c>
      <c r="B43" s="30">
        <f>IFERROR(__xludf.DUMMYFUNCTION("""COMPUTED_VALUE"""),496.377970272938)</f>
        <v>496.377970272938</v>
      </c>
      <c r="C43" s="30">
        <f>IFERROR(__xludf.DUMMYFUNCTION("""COMPUTED_VALUE"""),458.141572002614)</f>
        <v>458.141572002614</v>
      </c>
      <c r="D43" s="30">
        <f>IFERROR(__xludf.DUMMYFUNCTION("""COMPUTED_VALUE"""),468.569680621793)</f>
        <v>468.569680621793</v>
      </c>
    </row>
    <row r="44" customHeight="1" spans="1:4">
      <c r="A44" s="29" t="str">
        <f>IFERROR(__xludf.DUMMYFUNCTION("""COMPUTED_VALUE"""),"iPhone 14 Pro 256G")</f>
        <v>iPhone 14 Pro 256G</v>
      </c>
      <c r="B44" s="30">
        <f>IFERROR(__xludf.DUMMYFUNCTION("""COMPUTED_VALUE"""),545.042477162442)</f>
        <v>545.042477162442</v>
      </c>
      <c r="C44" s="30">
        <f>IFERROR(__xludf.DUMMYFUNCTION("""COMPUTED_VALUE"""),485.949861653759)</f>
        <v>485.949861653759</v>
      </c>
      <c r="D44" s="30">
        <f>IFERROR(__xludf.DUMMYFUNCTION("""COMPUTED_VALUE"""),517.234187511297)</f>
        <v>517.234187511297</v>
      </c>
    </row>
    <row r="45" customHeight="1" spans="1:4">
      <c r="A45" s="29" t="str">
        <f>IFERROR(__xludf.DUMMYFUNCTION("""COMPUTED_VALUE"""),"iPhone 14 Pro 512G")</f>
        <v>iPhone 14 Pro 512G</v>
      </c>
      <c r="B45" s="30" t="str">
        <f>IFERROR(__xludf.DUMMYFUNCTION("""COMPUTED_VALUE"""),"")</f>
        <v/>
      </c>
      <c r="C45" s="30" t="str">
        <f>IFERROR(__xludf.DUMMYFUNCTION("""COMPUTED_VALUE"""),"")</f>
        <v/>
      </c>
      <c r="D45" s="30" t="str">
        <f>IFERROR(__xludf.DUMMYFUNCTION("""COMPUTED_VALUE"""),"")</f>
        <v/>
      </c>
    </row>
    <row r="46" customHeight="1" spans="1:4">
      <c r="A46" s="29" t="str">
        <f>IFERROR(__xludf.DUMMYFUNCTION("""COMPUTED_VALUE"""),"iPhone 14 Pro 1T")</f>
        <v>iPhone 14 Pro 1T</v>
      </c>
      <c r="B46" s="30" t="str">
        <f>IFERROR(__xludf.DUMMYFUNCTION("""COMPUTED_VALUE"""),"")</f>
        <v/>
      </c>
      <c r="C46" s="30" t="str">
        <f>IFERROR(__xludf.DUMMYFUNCTION("""COMPUTED_VALUE"""),"")</f>
        <v/>
      </c>
      <c r="D46" s="30" t="str">
        <f>IFERROR(__xludf.DUMMYFUNCTION("""COMPUTED_VALUE"""),"")</f>
        <v/>
      </c>
    </row>
    <row r="47" customHeight="1" spans="1:4">
      <c r="A47" s="29" t="str">
        <f>IFERROR(__xludf.DUMMYFUNCTION("""COMPUTED_VALUE"""),"iPhone 14 Pro Max 128G")</f>
        <v>iPhone 14 Pro Max 128G</v>
      </c>
      <c r="B47" s="30">
        <f>IFERROR(__xludf.DUMMYFUNCTION("""COMPUTED_VALUE"""),538.090404749655)</f>
        <v>538.090404749655</v>
      </c>
      <c r="C47" s="30">
        <f>IFERROR(__xludf.DUMMYFUNCTION("""COMPUTED_VALUE"""),527.662296130476)</f>
        <v>527.662296130476</v>
      </c>
      <c r="D47" s="30">
        <f>IFERROR(__xludf.DUMMYFUNCTION("""COMPUTED_VALUE"""),565.8986944008)</f>
        <v>565.8986944008</v>
      </c>
    </row>
    <row r="48" customHeight="1" spans="1:4">
      <c r="A48" s="29" t="str">
        <f>IFERROR(__xludf.DUMMYFUNCTION("""COMPUTED_VALUE"""),"iPhone 14 Pro Max 256G")</f>
        <v>iPhone 14 Pro Max 256G</v>
      </c>
      <c r="B48" s="30">
        <f>IFERROR(__xludf.DUMMYFUNCTION("""COMPUTED_VALUE"""),614.563201290304)</f>
        <v>614.563201290304</v>
      </c>
      <c r="C48" s="30">
        <f>IFERROR(__xludf.DUMMYFUNCTION("""COMPUTED_VALUE"""),562.422658194407)</f>
        <v>562.422658194407</v>
      </c>
      <c r="D48" s="30">
        <f>IFERROR(__xludf.DUMMYFUNCTION("""COMPUTED_VALUE"""),621.51527370309)</f>
        <v>621.51527370309</v>
      </c>
    </row>
    <row r="49" customHeight="1" spans="1:4">
      <c r="A49" s="29" t="str">
        <f>IFERROR(__xludf.DUMMYFUNCTION("""COMPUTED_VALUE"""),"iPhone 14 Pro Max 512G")</f>
        <v>iPhone 14 Pro Max 512G</v>
      </c>
      <c r="B49" s="30" t="str">
        <f>IFERROR(__xludf.DUMMYFUNCTION("""COMPUTED_VALUE"""),"")</f>
        <v/>
      </c>
      <c r="C49" s="30" t="str">
        <f>IFERROR(__xludf.DUMMYFUNCTION("""COMPUTED_VALUE"""),"")</f>
        <v/>
      </c>
      <c r="D49" s="30" t="str">
        <f>IFERROR(__xludf.DUMMYFUNCTION("""COMPUTED_VALUE"""),"")</f>
        <v/>
      </c>
    </row>
    <row r="50" customHeight="1" spans="1:4">
      <c r="A50" s="29" t="str">
        <f>IFERROR(__xludf.DUMMYFUNCTION("""COMPUTED_VALUE"""),"iPhone 14 Pro Max 1T")</f>
        <v>iPhone 14 Pro Max 1T</v>
      </c>
      <c r="B50" s="30" t="str">
        <f>IFERROR(__xludf.DUMMYFUNCTION("""COMPUTED_VALUE"""),"")</f>
        <v/>
      </c>
      <c r="C50" s="30" t="str">
        <f>IFERROR(__xludf.DUMMYFUNCTION("""COMPUTED_VALUE"""),"")</f>
        <v/>
      </c>
      <c r="D50" s="30" t="str">
        <f>IFERROR(__xludf.DUMMYFUNCTION("""COMPUTED_VALUE"""),"")</f>
        <v/>
      </c>
    </row>
    <row r="51" customHeight="1" spans="1:4">
      <c r="A51" s="29" t="str">
        <f>IFERROR(__xludf.DUMMYFUNCTION("""COMPUTED_VALUE"""),"iPhone 15 128G")</f>
        <v>iPhone 15 128G</v>
      </c>
      <c r="B51" s="30">
        <f>IFERROR(__xludf.DUMMYFUNCTION("""COMPUTED_VALUE"""),443.542219935762)</f>
        <v>443.542219935762</v>
      </c>
      <c r="C51" s="30">
        <f>IFERROR(__xludf.DUMMYFUNCTION("""COMPUTED_VALUE"""),432.418904075304)</f>
        <v>432.418904075304</v>
      </c>
      <c r="D51" s="30">
        <f>IFERROR(__xludf.DUMMYFUNCTION("""COMPUTED_VALUE"""),440.761390970648)</f>
        <v>440.761390970648</v>
      </c>
    </row>
    <row r="52" customHeight="1" spans="1:4">
      <c r="A52" s="29" t="str">
        <f>IFERROR(__xludf.DUMMYFUNCTION("""COMPUTED_VALUE"""),"iPhone 15 256G")</f>
        <v>iPhone 15 256G</v>
      </c>
      <c r="B52" s="30">
        <f>IFERROR(__xludf.DUMMYFUNCTION("""COMPUTED_VALUE"""),510.28211509851)</f>
        <v>510.28211509851</v>
      </c>
      <c r="C52" s="30">
        <f>IFERROR(__xludf.DUMMYFUNCTION("""COMPUTED_VALUE"""),474.131338552022)</f>
        <v>474.131338552022</v>
      </c>
      <c r="D52" s="30">
        <f>IFERROR(__xludf.DUMMYFUNCTION("""COMPUTED_VALUE"""),503.330042685724)</f>
        <v>503.330042685724</v>
      </c>
    </row>
    <row r="53" customHeight="1" spans="1:4">
      <c r="A53" s="29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30" t="str">
        <f>IFERROR(__xludf.DUMMYFUNCTION("""COMPUTED_VALUE"""),"")</f>
        <v/>
      </c>
    </row>
    <row r="54" customHeight="1" spans="1:4">
      <c r="A54" s="29" t="str">
        <f>IFERROR(__xludf.DUMMYFUNCTION("""COMPUTED_VALUE"""),"iPhone 15 Plus 128G")</f>
        <v>iPhone 15 Plus 128G</v>
      </c>
      <c r="B54" s="30">
        <f>IFERROR(__xludf.DUMMYFUNCTION("""COMPUTED_VALUE"""),497.768384755495)</f>
        <v>497.768384755495</v>
      </c>
      <c r="C54" s="30">
        <f>IFERROR(__xludf.DUMMYFUNCTION("""COMPUTED_VALUE"""),468.569680621793)</f>
        <v>468.569680621793</v>
      </c>
      <c r="D54" s="30">
        <f>IFERROR(__xludf.DUMMYFUNCTION("""COMPUTED_VALUE"""),483.864239929923)</f>
        <v>483.864239929923</v>
      </c>
    </row>
    <row r="55" customHeight="1" spans="1:4">
      <c r="A55" s="29" t="str">
        <f>IFERROR(__xludf.DUMMYFUNCTION("""COMPUTED_VALUE"""),"iPhone 15 Plus 256G")</f>
        <v>iPhone 15 Plus 256G</v>
      </c>
      <c r="B55" s="30">
        <f>IFERROR(__xludf.DUMMYFUNCTION("""COMPUTED_VALUE"""),539.480819232213)</f>
        <v>539.480819232213</v>
      </c>
      <c r="C55" s="30">
        <f>IFERROR(__xludf.DUMMYFUNCTION("""COMPUTED_VALUE"""),524.186259924083)</f>
        <v>524.186259924083</v>
      </c>
      <c r="D55" s="30">
        <f>IFERROR(__xludf.DUMMYFUNCTION("""COMPUTED_VALUE"""),539.480819232213)</f>
        <v>539.480819232213</v>
      </c>
    </row>
    <row r="56" customHeight="1" spans="1:4">
      <c r="A56" s="29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30" t="str">
        <f>IFERROR(__xludf.DUMMYFUNCTION("""COMPUTED_VALUE"""),"")</f>
        <v/>
      </c>
    </row>
    <row r="57" customHeight="1" spans="1:4">
      <c r="A57" s="29" t="str">
        <f>IFERROR(__xludf.DUMMYFUNCTION("""COMPUTED_VALUE"""),"iPhone 15 Pro 128G")</f>
        <v>iPhone 15 Pro 128G</v>
      </c>
      <c r="B57" s="30">
        <f>IFERROR(__xludf.DUMMYFUNCTION("""COMPUTED_VALUE"""),631.248175080991)</f>
        <v>631.248175080991</v>
      </c>
      <c r="C57" s="30">
        <f>IFERROR(__xludf.DUMMYFUNCTION("""COMPUTED_VALUE"""),563.117865435686)</f>
        <v>563.117865435686</v>
      </c>
      <c r="D57" s="30">
        <f>IFERROR(__xludf.DUMMYFUNCTION("""COMPUTED_VALUE"""),645.152319906564)</f>
        <v>645.152319906564</v>
      </c>
    </row>
    <row r="58" customHeight="1" spans="1:4">
      <c r="A58" s="29" t="str">
        <f>IFERROR(__xludf.DUMMYFUNCTION("""COMPUTED_VALUE"""),"iPhone 15 Pro 256G")</f>
        <v>iPhone 15 Pro 256G</v>
      </c>
      <c r="B58" s="30">
        <f>IFERROR(__xludf.DUMMYFUNCTION("""COMPUTED_VALUE"""),686.864754383281)</f>
        <v>686.864754383281</v>
      </c>
      <c r="C58" s="30">
        <f>IFERROR(__xludf.DUMMYFUNCTION("""COMPUTED_VALUE"""),618.734444737976)</f>
        <v>618.734444737976</v>
      </c>
      <c r="D58" s="30">
        <f>IFERROR(__xludf.DUMMYFUNCTION("""COMPUTED_VALUE"""),686.864754383281)</f>
        <v>686.864754383281</v>
      </c>
    </row>
    <row r="59" customHeight="1" spans="1:4">
      <c r="A59" s="29" t="str">
        <f>IFERROR(__xludf.DUMMYFUNCTION("""COMPUTED_VALUE"""),"iPhone 15 Pro 512G")</f>
        <v>iPhone 15 Pro 512G</v>
      </c>
      <c r="B59" s="30">
        <f>IFERROR(__xludf.DUMMYFUNCTION("""COMPUTED_VALUE"""),714.673044034426)</f>
        <v>714.673044034426</v>
      </c>
      <c r="C59" s="30">
        <f>IFERROR(__xludf.DUMMYFUNCTION("""COMPUTED_VALUE"""),646.542734389121)</f>
        <v>646.542734389121</v>
      </c>
      <c r="D59" s="30">
        <f>IFERROR(__xludf.DUMMYFUNCTION("""COMPUTED_VALUE"""),721.625116447212)</f>
        <v>721.625116447212</v>
      </c>
    </row>
    <row r="60" customHeight="1" spans="1:4">
      <c r="A60" s="29" t="str">
        <f>IFERROR(__xludf.DUMMYFUNCTION("""COMPUTED_VALUE"""),"iPhone 15 Pro 1T")</f>
        <v>iPhone 15 Pro 1T</v>
      </c>
      <c r="B60" s="30" t="str">
        <f>IFERROR(__xludf.DUMMYFUNCTION("""COMPUTED_VALUE"""),"")</f>
        <v/>
      </c>
      <c r="C60" s="30" t="str">
        <f>IFERROR(__xludf.DUMMYFUNCTION("""COMPUTED_VALUE"""),"")</f>
        <v/>
      </c>
      <c r="D60" s="30" t="str">
        <f>IFERROR(__xludf.DUMMYFUNCTION("""COMPUTED_VALUE"""),"")</f>
        <v/>
      </c>
    </row>
    <row r="61" customHeight="1" spans="1:4">
      <c r="A61" s="29" t="str">
        <f>IFERROR(__xludf.DUMMYFUNCTION("""COMPUTED_VALUE"""),"iPhone 15 Pro Max 256G")</f>
        <v>iPhone 15 Pro Max 256G</v>
      </c>
      <c r="B61" s="30">
        <f>IFERROR(__xludf.DUMMYFUNCTION("""COMPUTED_VALUE"""),791.145840575075)</f>
        <v>791.145840575075</v>
      </c>
      <c r="C61" s="30">
        <f>IFERROR(__xludf.DUMMYFUNCTION("""COMPUTED_VALUE"""),667.39895162748)</f>
        <v>667.39895162748</v>
      </c>
      <c r="D61" s="30">
        <f>IFERROR(__xludf.DUMMYFUNCTION("""COMPUTED_VALUE"""),784.193768162289)</f>
        <v>784.193768162289</v>
      </c>
    </row>
    <row r="62" customHeight="1" spans="1:4">
      <c r="A62" s="29" t="str">
        <f>IFERROR(__xludf.DUMMYFUNCTION("""COMPUTED_VALUE"""),"iPhone 15 Pro Max 512G")</f>
        <v>iPhone 15 Pro Max 512G</v>
      </c>
      <c r="B62" s="30">
        <f>IFERROR(__xludf.DUMMYFUNCTION("""COMPUTED_VALUE"""),846.762419877365)</f>
        <v>846.762419877365</v>
      </c>
      <c r="C62" s="30" t="str">
        <f>IFERROR(__xludf.DUMMYFUNCTION("""COMPUTED_VALUE"""),"")</f>
        <v/>
      </c>
      <c r="D62" s="30" t="str">
        <f>IFERROR(__xludf.DUMMYFUNCTION("""COMPUTED_VALUE"""),"")</f>
        <v/>
      </c>
    </row>
    <row r="63" customHeight="1" spans="1:4">
      <c r="A63" s="29" t="str">
        <f>IFERROR(__xludf.DUMMYFUNCTION("""COMPUTED_VALUE"""),"iPhone 15 Pro Max 1T")</f>
        <v>iPhone 15 Pro Max 1T</v>
      </c>
      <c r="B63" s="30" t="str">
        <f>IFERROR(__xludf.DUMMYFUNCTION("""COMPUTED_VALUE"""),"")</f>
        <v/>
      </c>
      <c r="C63" s="30" t="str">
        <f>IFERROR(__xludf.DUMMYFUNCTION("""COMPUTED_VALUE"""),"")</f>
        <v/>
      </c>
      <c r="D63" s="30" t="str">
        <f>IFERROR(__xludf.DUMMYFUNCTION("""COMPUTED_VALUE"""),"")</f>
        <v/>
      </c>
    </row>
    <row r="64" customHeight="1" spans="1:4">
      <c r="A64" s="29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>
        <f>IFERROR(__xludf.DUMMYFUNCTION("""COMPUTED_VALUE"""),555.470585781621)</f>
        <v>555.470585781621</v>
      </c>
      <c r="D64" s="30" t="str">
        <f>IFERROR(__xludf.DUMMYFUNCTION("""COMPUTED_VALUE"""),"")</f>
        <v/>
      </c>
    </row>
    <row r="65" customHeight="1" spans="1:4">
      <c r="A65" s="29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>
        <f>IFERROR(__xludf.DUMMYFUNCTION("""COMPUTED_VALUE"""),611.087165083911)</f>
        <v>611.087165083911</v>
      </c>
      <c r="D65" s="30" t="str">
        <f>IFERROR(__xludf.DUMMYFUNCTION("""COMPUTED_VALUE"""),"")</f>
        <v/>
      </c>
    </row>
    <row r="66" customHeight="1" spans="1:4">
      <c r="A66" s="29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30" t="str">
        <f>IFERROR(__xludf.DUMMYFUNCTION("""COMPUTED_VALUE"""),"")</f>
        <v/>
      </c>
    </row>
    <row r="67" customHeight="1" spans="1:4">
      <c r="A67" s="29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>
        <f>IFERROR(__xludf.DUMMYFUNCTION("""COMPUTED_VALUE"""),145.993520668511)</f>
        <v>145.993520668511</v>
      </c>
      <c r="D67" s="30" t="str">
        <f>IFERROR(__xludf.DUMMYFUNCTION("""COMPUTED_VALUE"""),"")</f>
        <v/>
      </c>
    </row>
    <row r="68" customHeight="1" spans="1:4">
      <c r="A68" s="27"/>
      <c r="B68" s="28"/>
      <c r="C68" s="28"/>
      <c r="D68" s="28"/>
    </row>
    <row r="69" customHeight="1" spans="1:4">
      <c r="A69" s="27"/>
      <c r="B69" s="28"/>
      <c r="C69" s="28"/>
      <c r="D69" s="28"/>
    </row>
    <row r="70" customHeight="1" spans="1:4">
      <c r="A70" s="27"/>
      <c r="B70" s="28"/>
      <c r="C70" s="28"/>
      <c r="D70" s="28"/>
    </row>
    <row r="71" customHeight="1" spans="1:4">
      <c r="A71" s="27"/>
      <c r="B71" s="28"/>
      <c r="C71" s="28"/>
      <c r="D71" s="28"/>
    </row>
    <row r="72" customHeight="1" spans="1:4">
      <c r="A72" s="27"/>
      <c r="B72" s="28"/>
      <c r="C72" s="28"/>
      <c r="D72" s="28"/>
    </row>
    <row r="73" customHeight="1" spans="1:4">
      <c r="A73" s="27"/>
      <c r="B73" s="28"/>
      <c r="C73" s="28"/>
      <c r="D73" s="28"/>
    </row>
    <row r="74" customHeight="1" spans="1:4">
      <c r="A74" s="27"/>
      <c r="B74" s="28"/>
      <c r="C74" s="28"/>
      <c r="D74" s="28"/>
    </row>
    <row r="75" customHeight="1" spans="1:4">
      <c r="A75" s="27"/>
      <c r="B75" s="28"/>
      <c r="C75" s="28"/>
      <c r="D75" s="28"/>
    </row>
    <row r="76" customHeight="1" spans="1:4">
      <c r="A76" s="27"/>
      <c r="B76" s="28"/>
      <c r="C76" s="28"/>
      <c r="D76" s="28"/>
    </row>
    <row r="77" customHeight="1" spans="1:4">
      <c r="A77" s="27"/>
      <c r="B77" s="28"/>
      <c r="C77" s="28"/>
      <c r="D77" s="28"/>
    </row>
    <row r="78" customHeight="1" spans="1:4">
      <c r="A78" s="27"/>
      <c r="B78" s="28"/>
      <c r="C78" s="28"/>
      <c r="D78" s="28"/>
    </row>
    <row r="79" customHeight="1" spans="1:4">
      <c r="A79" s="27"/>
      <c r="B79" s="28"/>
      <c r="C79" s="28"/>
      <c r="D79" s="28"/>
    </row>
    <row r="80" customHeight="1" spans="1:4">
      <c r="A80" s="27"/>
      <c r="B80" s="28"/>
      <c r="C80" s="28"/>
      <c r="D80" s="28"/>
    </row>
    <row r="81" customHeight="1" spans="1:4">
      <c r="A81" s="27"/>
      <c r="B81" s="28"/>
      <c r="C81" s="28"/>
      <c r="D81" s="28"/>
    </row>
    <row r="82" customHeight="1" spans="1:4">
      <c r="A82" s="27"/>
      <c r="B82" s="28"/>
      <c r="C82" s="28"/>
      <c r="D82" s="28"/>
    </row>
    <row r="83" customHeight="1" spans="1:4">
      <c r="A83" s="27"/>
      <c r="B83" s="28"/>
      <c r="C83" s="28"/>
      <c r="D83" s="28"/>
    </row>
    <row r="84" customHeight="1" spans="1:4">
      <c r="A84" s="27"/>
      <c r="B84" s="28"/>
      <c r="C84" s="28"/>
      <c r="D84" s="28"/>
    </row>
    <row r="85" customHeight="1" spans="1:4">
      <c r="A85" s="27"/>
      <c r="B85" s="28"/>
      <c r="C85" s="28"/>
      <c r="D85" s="28"/>
    </row>
    <row r="86" customHeight="1" spans="1:4">
      <c r="A86" s="27"/>
      <c r="B86" s="28"/>
      <c r="C86" s="28"/>
      <c r="D86" s="28"/>
    </row>
    <row r="87" customHeight="1" spans="1:4">
      <c r="A87" s="27"/>
      <c r="B87" s="28"/>
      <c r="C87" s="28"/>
      <c r="D87" s="28"/>
    </row>
    <row r="88" customHeight="1" spans="1:4">
      <c r="A88" s="27"/>
      <c r="B88" s="28"/>
      <c r="C88" s="28"/>
      <c r="D88" s="28"/>
    </row>
    <row r="89" customHeight="1" spans="1:4">
      <c r="A89" s="27"/>
      <c r="B89" s="28"/>
      <c r="C89" s="28"/>
      <c r="D89" s="28"/>
    </row>
    <row r="90" customHeight="1" spans="1:4">
      <c r="A90" s="27"/>
      <c r="B90" s="28"/>
      <c r="C90" s="28"/>
      <c r="D90" s="28"/>
    </row>
    <row r="91" customHeight="1" spans="1:4">
      <c r="A91" s="27"/>
      <c r="B91" s="28"/>
      <c r="C91" s="28"/>
      <c r="D91" s="28"/>
    </row>
    <row r="92" customHeight="1" spans="1:4">
      <c r="A92" s="27"/>
      <c r="B92" s="28"/>
      <c r="C92" s="28"/>
      <c r="D92" s="28"/>
    </row>
    <row r="93" customHeight="1" spans="1:4">
      <c r="A93" s="27"/>
      <c r="B93" s="28"/>
      <c r="C93" s="28"/>
      <c r="D93" s="28"/>
    </row>
    <row r="94" customHeight="1" spans="1:4">
      <c r="A94" s="27"/>
      <c r="B94" s="28"/>
      <c r="C94" s="28"/>
      <c r="D94" s="28"/>
    </row>
    <row r="95" customHeight="1" spans="1:4">
      <c r="A95" s="27"/>
      <c r="B95" s="28"/>
      <c r="C95" s="28"/>
      <c r="D95" s="28"/>
    </row>
    <row r="96" customHeight="1" spans="1:4">
      <c r="A96" s="27"/>
      <c r="B96" s="28"/>
      <c r="C96" s="28"/>
      <c r="D96" s="28"/>
    </row>
    <row r="97" customHeight="1" spans="1:4">
      <c r="A97" s="27"/>
      <c r="B97" s="28"/>
      <c r="C97" s="28"/>
      <c r="D97" s="28"/>
    </row>
    <row r="98" customHeight="1" spans="1:4">
      <c r="A98" s="27"/>
      <c r="B98" s="28"/>
      <c r="C98" s="28"/>
      <c r="D98" s="28"/>
    </row>
    <row r="99" customHeight="1" spans="1:4">
      <c r="A99" s="27"/>
      <c r="B99" s="28"/>
      <c r="C99" s="28"/>
      <c r="D99" s="28"/>
    </row>
    <row r="100" customHeight="1" spans="1:4">
      <c r="A100" s="27"/>
      <c r="B100" s="28"/>
      <c r="C100" s="28"/>
      <c r="D100" s="28"/>
    </row>
    <row r="101" customHeight="1" spans="1:4">
      <c r="A101" s="27"/>
      <c r="B101" s="28"/>
      <c r="C101" s="28"/>
      <c r="D101" s="28"/>
    </row>
    <row r="102" customHeight="1" spans="1:4">
      <c r="A102" s="27"/>
      <c r="B102" s="28"/>
      <c r="C102" s="28"/>
      <c r="D102" s="28"/>
    </row>
    <row r="103" customHeight="1" spans="1:4">
      <c r="A103" s="27"/>
      <c r="B103" s="28"/>
      <c r="C103" s="28"/>
      <c r="D103" s="28"/>
    </row>
    <row r="104" customHeight="1" spans="1:4">
      <c r="A104" s="27"/>
      <c r="B104" s="28"/>
      <c r="C104" s="28"/>
      <c r="D104" s="28"/>
    </row>
    <row r="105" customHeight="1" spans="1:4">
      <c r="A105" s="27"/>
      <c r="B105" s="28"/>
      <c r="C105" s="28"/>
      <c r="D105" s="28"/>
    </row>
    <row r="106" customHeight="1" spans="1:4">
      <c r="A106" s="27"/>
      <c r="B106" s="28"/>
      <c r="C106" s="28"/>
      <c r="D106" s="28"/>
    </row>
    <row r="107" customHeight="1" spans="1:4">
      <c r="A107" s="27"/>
      <c r="B107" s="28"/>
      <c r="C107" s="28"/>
      <c r="D107" s="28"/>
    </row>
    <row r="108" customHeight="1" spans="1:4">
      <c r="A108" s="27"/>
      <c r="B108" s="28"/>
      <c r="C108" s="28"/>
      <c r="D108" s="28"/>
    </row>
    <row r="109" customHeight="1" spans="1:4">
      <c r="A109" s="27"/>
      <c r="B109" s="28"/>
      <c r="C109" s="28"/>
      <c r="D109" s="28"/>
    </row>
    <row r="110" customHeight="1" spans="1:4">
      <c r="A110" s="27"/>
      <c r="B110" s="28"/>
      <c r="C110" s="28"/>
      <c r="D110" s="28"/>
    </row>
    <row r="111" customHeight="1" spans="1:4">
      <c r="A111" s="27"/>
      <c r="B111" s="28"/>
      <c r="C111" s="28"/>
      <c r="D111" s="28"/>
    </row>
    <row r="112" customHeight="1" spans="1:4">
      <c r="A112" s="27"/>
      <c r="B112" s="28"/>
      <c r="C112" s="28"/>
      <c r="D112" s="28"/>
    </row>
    <row r="113" customHeight="1" spans="1:4">
      <c r="A113" s="27"/>
      <c r="B113" s="28"/>
      <c r="C113" s="28"/>
      <c r="D113" s="28"/>
    </row>
    <row r="114" customHeight="1" spans="1:4">
      <c r="A114" s="27"/>
      <c r="B114" s="28"/>
      <c r="C114" s="28"/>
      <c r="D114" s="28"/>
    </row>
    <row r="115" customHeight="1" spans="1:4">
      <c r="A115" s="27"/>
      <c r="B115" s="28"/>
      <c r="C115" s="28"/>
      <c r="D115" s="28"/>
    </row>
    <row r="116" customHeight="1" spans="1:4">
      <c r="A116" s="27"/>
      <c r="B116" s="28"/>
      <c r="C116" s="28"/>
      <c r="D116" s="28"/>
    </row>
    <row r="117" customHeight="1" spans="1:4">
      <c r="A117" s="27"/>
      <c r="B117" s="28"/>
      <c r="C117" s="28"/>
      <c r="D117" s="28"/>
    </row>
    <row r="118" customHeight="1" spans="1:4">
      <c r="A118" s="27"/>
      <c r="B118" s="28"/>
      <c r="C118" s="28"/>
      <c r="D118" s="28"/>
    </row>
    <row r="119" customHeight="1" spans="1:4">
      <c r="A119" s="27"/>
      <c r="B119" s="28"/>
      <c r="C119" s="28"/>
      <c r="D119" s="28"/>
    </row>
    <row r="120" customHeight="1" spans="1:4">
      <c r="A120" s="27"/>
      <c r="B120" s="28"/>
      <c r="C120" s="28"/>
      <c r="D120" s="28"/>
    </row>
    <row r="121" customHeight="1" spans="1:4">
      <c r="A121" s="27"/>
      <c r="B121" s="28"/>
      <c r="C121" s="28"/>
      <c r="D121" s="28"/>
    </row>
    <row r="122" customHeight="1" spans="1:4">
      <c r="A122" s="27"/>
      <c r="B122" s="28"/>
      <c r="C122" s="28"/>
      <c r="D122" s="28"/>
    </row>
    <row r="123" customHeight="1" spans="1:4">
      <c r="A123" s="27"/>
      <c r="B123" s="28"/>
      <c r="C123" s="28"/>
      <c r="D123" s="28"/>
    </row>
    <row r="124" customHeight="1" spans="1:4">
      <c r="A124" s="27"/>
      <c r="B124" s="28"/>
      <c r="C124" s="28"/>
      <c r="D124" s="28"/>
    </row>
    <row r="125" customHeight="1" spans="1:4">
      <c r="A125" s="27"/>
      <c r="B125" s="28"/>
      <c r="C125" s="28"/>
      <c r="D125" s="28"/>
    </row>
    <row r="126" customHeight="1" spans="1:4">
      <c r="A126" s="27"/>
      <c r="B126" s="28"/>
      <c r="C126" s="28"/>
      <c r="D126" s="28"/>
    </row>
    <row r="127" customHeight="1" spans="1:4">
      <c r="A127" s="27"/>
      <c r="B127" s="28"/>
      <c r="C127" s="28"/>
      <c r="D127" s="28"/>
    </row>
    <row r="128" customHeight="1" spans="1:4">
      <c r="A128" s="27"/>
      <c r="B128" s="28"/>
      <c r="C128" s="28"/>
      <c r="D128" s="28"/>
    </row>
    <row r="129" customHeight="1" spans="1:4">
      <c r="A129" s="27"/>
      <c r="B129" s="28"/>
      <c r="C129" s="28"/>
      <c r="D129" s="28"/>
    </row>
    <row r="130" customHeight="1" spans="1:4">
      <c r="A130" s="27"/>
      <c r="B130" s="28"/>
      <c r="C130" s="28"/>
      <c r="D130" s="28"/>
    </row>
    <row r="131" customHeight="1" spans="1:4">
      <c r="A131" s="27"/>
      <c r="B131" s="28"/>
      <c r="C131" s="28"/>
      <c r="D131" s="28"/>
    </row>
    <row r="132" customHeight="1" spans="1:4">
      <c r="A132" s="27"/>
      <c r="B132" s="28"/>
      <c r="C132" s="28"/>
      <c r="D132" s="28"/>
    </row>
    <row r="133" customHeight="1" spans="1:4">
      <c r="A133" s="27"/>
      <c r="B133" s="28"/>
      <c r="C133" s="28"/>
      <c r="D133" s="28"/>
    </row>
    <row r="134" customHeight="1" spans="1:4">
      <c r="A134" s="27"/>
      <c r="B134" s="28"/>
      <c r="C134" s="28"/>
      <c r="D134" s="28"/>
    </row>
    <row r="135" customHeight="1" spans="1:4">
      <c r="A135" s="27"/>
      <c r="B135" s="28"/>
      <c r="C135" s="28"/>
      <c r="D135" s="28"/>
    </row>
    <row r="136" customHeight="1" spans="1:4">
      <c r="A136" s="27"/>
      <c r="B136" s="28"/>
      <c r="C136" s="28"/>
      <c r="D136" s="28"/>
    </row>
    <row r="137" customHeight="1" spans="1:4">
      <c r="A137" s="27"/>
      <c r="B137" s="28"/>
      <c r="C137" s="28"/>
      <c r="D137" s="28"/>
    </row>
    <row r="138" customHeight="1" spans="1:4">
      <c r="A138" s="27"/>
      <c r="B138" s="28"/>
      <c r="C138" s="28"/>
      <c r="D138" s="28"/>
    </row>
    <row r="139" customHeight="1" spans="1:4">
      <c r="A139" s="27"/>
      <c r="B139" s="28"/>
      <c r="C139" s="28"/>
      <c r="D139" s="28"/>
    </row>
    <row r="140" customHeight="1" spans="1:4">
      <c r="A140" s="27"/>
      <c r="B140" s="28"/>
      <c r="C140" s="28"/>
      <c r="D140" s="28"/>
    </row>
    <row r="141" customHeight="1" spans="1:4">
      <c r="A141" s="27"/>
      <c r="B141" s="28"/>
      <c r="C141" s="28"/>
      <c r="D141" s="28"/>
    </row>
    <row r="142" customHeight="1" spans="1:4">
      <c r="A142" s="27"/>
      <c r="B142" s="28"/>
      <c r="C142" s="28"/>
      <c r="D142" s="28"/>
    </row>
    <row r="143" customHeight="1" spans="1:4">
      <c r="A143" s="27"/>
      <c r="B143" s="28"/>
      <c r="C143" s="28"/>
      <c r="D143" s="28"/>
    </row>
    <row r="144" customHeight="1" spans="1:4">
      <c r="A144" s="27"/>
      <c r="B144" s="28"/>
      <c r="C144" s="28"/>
      <c r="D144" s="28"/>
    </row>
    <row r="145" customHeight="1" spans="1:4">
      <c r="A145" s="27"/>
      <c r="B145" s="28"/>
      <c r="C145" s="28"/>
      <c r="D145" s="28"/>
    </row>
    <row r="146" customHeight="1" spans="1:4">
      <c r="A146" s="27"/>
      <c r="B146" s="28"/>
      <c r="C146" s="28"/>
      <c r="D146" s="28"/>
    </row>
    <row r="147" customHeight="1" spans="1:4">
      <c r="A147" s="27"/>
      <c r="B147" s="28"/>
      <c r="C147" s="28"/>
      <c r="D147" s="28"/>
    </row>
    <row r="148" customHeight="1" spans="1:4">
      <c r="A148" s="27"/>
      <c r="B148" s="28"/>
      <c r="C148" s="28"/>
      <c r="D148" s="28"/>
    </row>
    <row r="149" customHeight="1" spans="1:4">
      <c r="A149" s="27"/>
      <c r="B149" s="28"/>
      <c r="C149" s="28"/>
      <c r="D149" s="28"/>
    </row>
    <row r="150" customHeight="1" spans="1:4">
      <c r="A150" s="27"/>
      <c r="B150" s="28"/>
      <c r="C150" s="28"/>
      <c r="D150" s="28"/>
    </row>
    <row r="151" customHeight="1" spans="1:4">
      <c r="A151" s="27"/>
      <c r="B151" s="28"/>
      <c r="C151" s="28"/>
      <c r="D151" s="28"/>
    </row>
    <row r="152" customHeight="1" spans="1:4">
      <c r="A152" s="27"/>
      <c r="B152" s="28"/>
      <c r="C152" s="28"/>
      <c r="D152" s="28"/>
    </row>
    <row r="153" customHeight="1" spans="1:4">
      <c r="A153" s="27"/>
      <c r="B153" s="28"/>
      <c r="C153" s="28"/>
      <c r="D153" s="28"/>
    </row>
    <row r="154" customHeight="1" spans="1:4">
      <c r="A154" s="27"/>
      <c r="B154" s="28"/>
      <c r="C154" s="28"/>
      <c r="D154" s="28"/>
    </row>
    <row r="155" customHeight="1" spans="1:4">
      <c r="A155" s="27"/>
      <c r="B155" s="28"/>
      <c r="C155" s="28"/>
      <c r="D155" s="28"/>
    </row>
    <row r="156" customHeight="1" spans="1:4">
      <c r="A156" s="27"/>
      <c r="B156" s="28"/>
      <c r="C156" s="28"/>
      <c r="D156" s="28"/>
    </row>
    <row r="157" customHeight="1" spans="1:4">
      <c r="A157" s="27"/>
      <c r="B157" s="28"/>
      <c r="C157" s="28"/>
      <c r="D157" s="28"/>
    </row>
    <row r="158" customHeight="1" spans="1:4">
      <c r="A158" s="27"/>
      <c r="B158" s="28"/>
      <c r="C158" s="28"/>
      <c r="D158" s="28"/>
    </row>
    <row r="159" customHeight="1" spans="1:4">
      <c r="A159" s="27"/>
      <c r="B159" s="28"/>
      <c r="C159" s="28"/>
      <c r="D159" s="28"/>
    </row>
    <row r="160" customHeight="1" spans="1:4">
      <c r="A160" s="27"/>
      <c r="B160" s="28"/>
      <c r="C160" s="28"/>
      <c r="D160" s="28"/>
    </row>
    <row r="161" customHeight="1" spans="1:4">
      <c r="A161" s="27"/>
      <c r="B161" s="28"/>
      <c r="C161" s="28"/>
      <c r="D161" s="28"/>
    </row>
    <row r="162" customHeight="1" spans="1:4">
      <c r="A162" s="27"/>
      <c r="B162" s="28"/>
      <c r="C162" s="28"/>
      <c r="D162" s="28"/>
    </row>
    <row r="163" customHeight="1" spans="1:4">
      <c r="A163" s="27"/>
      <c r="B163" s="28"/>
      <c r="C163" s="28"/>
      <c r="D163" s="28"/>
    </row>
    <row r="164" customHeight="1" spans="1:4">
      <c r="A164" s="27"/>
      <c r="B164" s="28"/>
      <c r="C164" s="28"/>
      <c r="D164" s="28"/>
    </row>
    <row r="165" customHeight="1" spans="1:4">
      <c r="A165" s="27"/>
      <c r="B165" s="28"/>
      <c r="C165" s="28"/>
      <c r="D165" s="28"/>
    </row>
    <row r="166" customHeight="1" spans="1:4">
      <c r="A166" s="27"/>
      <c r="B166" s="28"/>
      <c r="C166" s="28"/>
      <c r="D166" s="28"/>
    </row>
    <row r="167" customHeight="1" spans="1:4">
      <c r="A167" s="27"/>
      <c r="B167" s="28"/>
      <c r="C167" s="28"/>
      <c r="D167" s="28"/>
    </row>
    <row r="168" customHeight="1" spans="1:4">
      <c r="A168" s="27"/>
      <c r="B168" s="28"/>
      <c r="C168" s="28"/>
      <c r="D168" s="28"/>
    </row>
    <row r="169" customHeight="1" spans="1:4">
      <c r="A169" s="27"/>
      <c r="B169" s="28"/>
      <c r="C169" s="28"/>
      <c r="D169" s="28"/>
    </row>
    <row r="170" customHeight="1" spans="1:4">
      <c r="A170" s="27"/>
      <c r="B170" s="28"/>
      <c r="C170" s="28"/>
      <c r="D170" s="28"/>
    </row>
    <row r="171" customHeight="1" spans="1:4">
      <c r="A171" s="27"/>
      <c r="B171" s="28"/>
      <c r="C171" s="28"/>
      <c r="D171" s="28"/>
    </row>
    <row r="172" customHeight="1" spans="1:4">
      <c r="A172" s="27"/>
      <c r="B172" s="28"/>
      <c r="C172" s="28"/>
      <c r="D172" s="28"/>
    </row>
    <row r="173" customHeight="1" spans="1:4">
      <c r="A173" s="27"/>
      <c r="B173" s="28"/>
      <c r="C173" s="28"/>
      <c r="D173" s="28"/>
    </row>
    <row r="174" customHeight="1" spans="1:4">
      <c r="A174" s="27"/>
      <c r="B174" s="28"/>
      <c r="C174" s="28"/>
      <c r="D174" s="28"/>
    </row>
    <row r="175" customHeight="1" spans="1:4">
      <c r="A175" s="27"/>
      <c r="B175" s="28"/>
      <c r="C175" s="28"/>
      <c r="D175" s="28"/>
    </row>
    <row r="176" customHeight="1" spans="1:4">
      <c r="A176" s="27"/>
      <c r="B176" s="28"/>
      <c r="C176" s="28"/>
      <c r="D176" s="28"/>
    </row>
    <row r="177" customHeight="1" spans="1:4">
      <c r="A177" s="27"/>
      <c r="B177" s="28"/>
      <c r="C177" s="28"/>
      <c r="D177" s="28"/>
    </row>
    <row r="178" customHeight="1" spans="1:4">
      <c r="A178" s="27"/>
      <c r="B178" s="28"/>
      <c r="C178" s="28"/>
      <c r="D178" s="28"/>
    </row>
    <row r="179" customHeight="1" spans="1:4">
      <c r="A179" s="27"/>
      <c r="B179" s="28"/>
      <c r="C179" s="28"/>
      <c r="D179" s="28"/>
    </row>
    <row r="180" customHeight="1" spans="1:4">
      <c r="A180" s="27"/>
      <c r="B180" s="28"/>
      <c r="C180" s="28"/>
      <c r="D180" s="28"/>
    </row>
    <row r="181" customHeight="1" spans="1:4">
      <c r="A181" s="27"/>
      <c r="B181" s="28"/>
      <c r="C181" s="28"/>
      <c r="D181" s="28"/>
    </row>
    <row r="182" customHeight="1" spans="1:4">
      <c r="A182" s="27"/>
      <c r="B182" s="28"/>
      <c r="C182" s="28"/>
      <c r="D182" s="28"/>
    </row>
    <row r="183" customHeight="1" spans="1:4">
      <c r="A183" s="27"/>
      <c r="B183" s="28"/>
      <c r="C183" s="28"/>
      <c r="D183" s="28"/>
    </row>
    <row r="184" customHeight="1" spans="1:4">
      <c r="A184" s="27"/>
      <c r="B184" s="28"/>
      <c r="C184" s="28"/>
      <c r="D184" s="28"/>
    </row>
    <row r="185" customHeight="1" spans="1:4">
      <c r="A185" s="27"/>
      <c r="B185" s="28"/>
      <c r="C185" s="28"/>
      <c r="D185" s="28"/>
    </row>
    <row r="186" customHeight="1" spans="1:4">
      <c r="A186" s="27"/>
      <c r="B186" s="28"/>
      <c r="C186" s="28"/>
      <c r="D186" s="28"/>
    </row>
    <row r="187" customHeight="1" spans="1:4">
      <c r="A187" s="27"/>
      <c r="B187" s="28"/>
      <c r="C187" s="28"/>
      <c r="D187" s="28"/>
    </row>
    <row r="188" customHeight="1" spans="1:4">
      <c r="A188" s="27"/>
      <c r="B188" s="28"/>
      <c r="C188" s="28"/>
      <c r="D188" s="28"/>
    </row>
    <row r="189" customHeight="1" spans="1:4">
      <c r="A189" s="27"/>
      <c r="B189" s="28"/>
      <c r="C189" s="28"/>
      <c r="D189" s="28"/>
    </row>
    <row r="190" customHeight="1" spans="1:4">
      <c r="A190" s="27"/>
      <c r="B190" s="28"/>
      <c r="C190" s="28"/>
      <c r="D190" s="28"/>
    </row>
    <row r="191" customHeight="1" spans="1:4">
      <c r="A191" s="27"/>
      <c r="B191" s="28"/>
      <c r="C191" s="28"/>
      <c r="D191" s="28"/>
    </row>
    <row r="192" customHeight="1" spans="1:4">
      <c r="A192" s="27"/>
      <c r="B192" s="28"/>
      <c r="C192" s="28"/>
      <c r="D192" s="28"/>
    </row>
    <row r="193" customHeight="1" spans="1:4">
      <c r="A193" s="27"/>
      <c r="B193" s="28"/>
      <c r="C193" s="28"/>
      <c r="D193" s="28"/>
    </row>
    <row r="194" customHeight="1" spans="1:4">
      <c r="A194" s="27"/>
      <c r="B194" s="28"/>
      <c r="C194" s="28"/>
      <c r="D194" s="28"/>
    </row>
    <row r="195" customHeight="1" spans="1:4">
      <c r="A195" s="27"/>
      <c r="B195" s="28"/>
      <c r="C195" s="28"/>
      <c r="D195" s="28"/>
    </row>
    <row r="196" customHeight="1" spans="1:4">
      <c r="A196" s="27"/>
      <c r="B196" s="28"/>
      <c r="C196" s="28"/>
      <c r="D196" s="28"/>
    </row>
    <row r="197" customHeight="1" spans="1:4">
      <c r="A197" s="27"/>
      <c r="B197" s="28"/>
      <c r="C197" s="28"/>
      <c r="D197" s="28"/>
    </row>
    <row r="198" customHeight="1" spans="1:4">
      <c r="A198" s="27"/>
      <c r="B198" s="28"/>
      <c r="C198" s="28"/>
      <c r="D198" s="28"/>
    </row>
    <row r="199" customHeight="1" spans="1:4">
      <c r="A199" s="27"/>
      <c r="B199" s="28"/>
      <c r="C199" s="28"/>
      <c r="D199" s="28"/>
    </row>
    <row r="200" customHeight="1" spans="1:4">
      <c r="A200" s="27"/>
      <c r="B200" s="28"/>
      <c r="C200" s="28"/>
      <c r="D200" s="28"/>
    </row>
    <row r="201" customHeight="1" spans="1:4">
      <c r="A201" s="27"/>
      <c r="B201" s="28"/>
      <c r="C201" s="28"/>
      <c r="D201" s="28"/>
    </row>
    <row r="202" customHeight="1" spans="1:4">
      <c r="A202" s="27"/>
      <c r="B202" s="28"/>
      <c r="C202" s="28"/>
      <c r="D202" s="28"/>
    </row>
    <row r="203" customHeight="1" spans="1:4">
      <c r="A203" s="27"/>
      <c r="B203" s="28"/>
      <c r="C203" s="28"/>
      <c r="D203" s="28"/>
    </row>
    <row r="204" customHeight="1" spans="1:4">
      <c r="A204" s="27"/>
      <c r="B204" s="28"/>
      <c r="C204" s="28"/>
      <c r="D204" s="28"/>
    </row>
    <row r="205" customHeight="1" spans="1:4">
      <c r="A205" s="27"/>
      <c r="B205" s="28"/>
      <c r="C205" s="28"/>
      <c r="D205" s="28"/>
    </row>
    <row r="206" customHeight="1" spans="1:4">
      <c r="A206" s="27"/>
      <c r="B206" s="28"/>
      <c r="C206" s="28"/>
      <c r="D206" s="28"/>
    </row>
    <row r="207" customHeight="1" spans="1:4">
      <c r="A207" s="27"/>
      <c r="B207" s="28"/>
      <c r="C207" s="28"/>
      <c r="D207" s="28"/>
    </row>
    <row r="208" customHeight="1" spans="1:4">
      <c r="A208" s="27"/>
      <c r="B208" s="28"/>
      <c r="C208" s="28"/>
      <c r="D208" s="28"/>
    </row>
    <row r="209" customHeight="1" spans="1:4">
      <c r="A209" s="27"/>
      <c r="B209" s="28"/>
      <c r="C209" s="28"/>
      <c r="D209" s="28"/>
    </row>
    <row r="210" customHeight="1" spans="1:4">
      <c r="A210" s="27"/>
      <c r="B210" s="28"/>
      <c r="C210" s="28"/>
      <c r="D210" s="28"/>
    </row>
    <row r="211" customHeight="1" spans="1:4">
      <c r="A211" s="27"/>
      <c r="B211" s="28"/>
      <c r="C211" s="28"/>
      <c r="D211" s="28"/>
    </row>
    <row r="212" customHeight="1" spans="1:4">
      <c r="A212" s="27"/>
      <c r="B212" s="28"/>
      <c r="C212" s="28"/>
      <c r="D212" s="28"/>
    </row>
    <row r="213" customHeight="1" spans="1:4">
      <c r="A213" s="27"/>
      <c r="B213" s="28"/>
      <c r="C213" s="28"/>
      <c r="D213" s="28"/>
    </row>
    <row r="214" customHeight="1" spans="1:4">
      <c r="A214" s="27"/>
      <c r="B214" s="28"/>
      <c r="C214" s="28"/>
      <c r="D214" s="28"/>
    </row>
    <row r="215" customHeight="1" spans="1:4">
      <c r="A215" s="27"/>
      <c r="B215" s="28"/>
      <c r="C215" s="28"/>
      <c r="D215" s="28"/>
    </row>
    <row r="216" customHeight="1" spans="1:4">
      <c r="A216" s="27"/>
      <c r="B216" s="28"/>
      <c r="C216" s="28"/>
      <c r="D216" s="28"/>
    </row>
    <row r="217" customHeight="1" spans="1:4">
      <c r="A217" s="27"/>
      <c r="B217" s="28"/>
      <c r="C217" s="28"/>
      <c r="D217" s="28"/>
    </row>
    <row r="218" customHeight="1" spans="1:4">
      <c r="A218" s="27"/>
      <c r="B218" s="28"/>
      <c r="C218" s="28"/>
      <c r="D218" s="28"/>
    </row>
    <row r="219" customHeight="1" spans="1:4">
      <c r="A219" s="27"/>
      <c r="B219" s="28"/>
      <c r="C219" s="28"/>
      <c r="D219" s="28"/>
    </row>
    <row r="220" customHeight="1" spans="1:4">
      <c r="A220" s="27"/>
      <c r="B220" s="28"/>
      <c r="C220" s="28"/>
      <c r="D220" s="28"/>
    </row>
    <row r="221" customHeight="1" spans="1:4">
      <c r="A221" s="27"/>
      <c r="B221" s="28"/>
      <c r="C221" s="28"/>
      <c r="D221" s="28"/>
    </row>
    <row r="222" customHeight="1" spans="1:4">
      <c r="A222" s="27"/>
      <c r="B222" s="28"/>
      <c r="C222" s="28"/>
      <c r="D222" s="28"/>
    </row>
    <row r="223" customHeight="1" spans="1:4">
      <c r="A223" s="27"/>
      <c r="B223" s="28"/>
      <c r="C223" s="28"/>
      <c r="D223" s="28"/>
    </row>
    <row r="224" customHeight="1" spans="1:4">
      <c r="A224" s="27"/>
      <c r="B224" s="28"/>
      <c r="C224" s="28"/>
      <c r="D224" s="28"/>
    </row>
    <row r="225" customHeight="1" spans="1:4">
      <c r="A225" s="27"/>
      <c r="B225" s="28"/>
      <c r="C225" s="28"/>
      <c r="D225" s="28"/>
    </row>
    <row r="226" customHeight="1" spans="1:4">
      <c r="A226" s="27"/>
      <c r="B226" s="28"/>
      <c r="C226" s="28"/>
      <c r="D226" s="28"/>
    </row>
    <row r="227" customHeight="1" spans="1:4">
      <c r="A227" s="27"/>
      <c r="B227" s="28"/>
      <c r="C227" s="28"/>
      <c r="D227" s="28"/>
    </row>
    <row r="228" customHeight="1" spans="1:4">
      <c r="A228" s="27"/>
      <c r="B228" s="28"/>
      <c r="C228" s="28"/>
      <c r="D228" s="28"/>
    </row>
    <row r="229" customHeight="1" spans="1:4">
      <c r="A229" s="27"/>
      <c r="B229" s="28"/>
      <c r="C229" s="28"/>
      <c r="D229" s="28"/>
    </row>
    <row r="230" customHeight="1" spans="1:4">
      <c r="A230" s="27"/>
      <c r="B230" s="28"/>
      <c r="C230" s="28"/>
      <c r="D230" s="28"/>
    </row>
    <row r="231" customHeight="1" spans="1:4">
      <c r="A231" s="27"/>
      <c r="B231" s="28"/>
      <c r="C231" s="28"/>
      <c r="D231" s="28"/>
    </row>
    <row r="232" customHeight="1" spans="1:4">
      <c r="A232" s="27"/>
      <c r="B232" s="28"/>
      <c r="C232" s="28"/>
      <c r="D232" s="28"/>
    </row>
    <row r="233" customHeight="1" spans="1:4">
      <c r="A233" s="27"/>
      <c r="B233" s="28"/>
      <c r="C233" s="28"/>
      <c r="D233" s="28"/>
    </row>
    <row r="234" customHeight="1" spans="1:4">
      <c r="A234" s="27"/>
      <c r="B234" s="28"/>
      <c r="C234" s="28"/>
      <c r="D234" s="28"/>
    </row>
    <row r="235" customHeight="1" spans="1:4">
      <c r="A235" s="27"/>
      <c r="B235" s="28"/>
      <c r="C235" s="28"/>
      <c r="D235" s="28"/>
    </row>
    <row r="236" customHeight="1" spans="1:4">
      <c r="A236" s="27"/>
      <c r="B236" s="28"/>
      <c r="C236" s="28"/>
      <c r="D236" s="28"/>
    </row>
    <row r="237" customHeight="1" spans="1:4">
      <c r="A237" s="27"/>
      <c r="B237" s="28"/>
      <c r="C237" s="28"/>
      <c r="D237" s="28"/>
    </row>
    <row r="238" customHeight="1" spans="1:4">
      <c r="A238" s="27"/>
      <c r="B238" s="28"/>
      <c r="C238" s="28"/>
      <c r="D238" s="28"/>
    </row>
    <row r="239" customHeight="1" spans="1:4">
      <c r="A239" s="27"/>
      <c r="B239" s="28"/>
      <c r="C239" s="28"/>
      <c r="D239" s="28"/>
    </row>
    <row r="240" customHeight="1" spans="1:4">
      <c r="A240" s="27"/>
      <c r="B240" s="28"/>
      <c r="C240" s="28"/>
      <c r="D240" s="28"/>
    </row>
    <row r="241" customHeight="1" spans="1:4">
      <c r="A241" s="27"/>
      <c r="B241" s="28"/>
      <c r="C241" s="28"/>
      <c r="D241" s="28"/>
    </row>
    <row r="242" customHeight="1" spans="1:4">
      <c r="A242" s="27"/>
      <c r="B242" s="28"/>
      <c r="C242" s="28"/>
      <c r="D242" s="28"/>
    </row>
    <row r="243" customHeight="1" spans="1:4">
      <c r="A243" s="27"/>
      <c r="B243" s="28"/>
      <c r="C243" s="28"/>
      <c r="D243" s="28"/>
    </row>
    <row r="244" customHeight="1" spans="1:4">
      <c r="A244" s="27"/>
      <c r="B244" s="28"/>
      <c r="C244" s="28"/>
      <c r="D244" s="28"/>
    </row>
    <row r="245" customHeight="1" spans="1:4">
      <c r="A245" s="27"/>
      <c r="B245" s="28"/>
      <c r="C245" s="28"/>
      <c r="D245" s="28"/>
    </row>
    <row r="246" customHeight="1" spans="1:4">
      <c r="A246" s="27"/>
      <c r="B246" s="28"/>
      <c r="C246" s="28"/>
      <c r="D246" s="28"/>
    </row>
    <row r="247" customHeight="1" spans="1:4">
      <c r="A247" s="27"/>
      <c r="B247" s="28"/>
      <c r="C247" s="28"/>
      <c r="D247" s="28"/>
    </row>
    <row r="248" customHeight="1" spans="1:4">
      <c r="A248" s="27"/>
      <c r="B248" s="28"/>
      <c r="C248" s="28"/>
      <c r="D248" s="28"/>
    </row>
    <row r="249" customHeight="1" spans="1:4">
      <c r="A249" s="27"/>
      <c r="B249" s="28"/>
      <c r="C249" s="28"/>
      <c r="D249" s="28"/>
    </row>
    <row r="250" customHeight="1" spans="1:4">
      <c r="A250" s="27"/>
      <c r="B250" s="28"/>
      <c r="C250" s="28"/>
      <c r="D250" s="28"/>
    </row>
    <row r="251" customHeight="1" spans="1:4">
      <c r="A251" s="27"/>
      <c r="B251" s="28"/>
      <c r="C251" s="28"/>
      <c r="D251" s="28"/>
    </row>
    <row r="252" customHeight="1" spans="1:4">
      <c r="A252" s="27"/>
      <c r="B252" s="28"/>
      <c r="C252" s="28"/>
      <c r="D252" s="28"/>
    </row>
    <row r="253" customHeight="1" spans="1:4">
      <c r="A253" s="27"/>
      <c r="B253" s="28"/>
      <c r="C253" s="28"/>
      <c r="D253" s="28"/>
    </row>
    <row r="254" customHeight="1" spans="1:4">
      <c r="A254" s="27"/>
      <c r="B254" s="28"/>
      <c r="C254" s="28"/>
      <c r="D254" s="28"/>
    </row>
    <row r="255" customHeight="1" spans="1:4">
      <c r="A255" s="27"/>
      <c r="B255" s="28"/>
      <c r="C255" s="28"/>
      <c r="D255" s="28"/>
    </row>
    <row r="256" customHeight="1" spans="1:4">
      <c r="A256" s="27"/>
      <c r="B256" s="28"/>
      <c r="C256" s="28"/>
      <c r="D256" s="28"/>
    </row>
    <row r="257" customHeight="1" spans="1:4">
      <c r="A257" s="27"/>
      <c r="B257" s="28"/>
      <c r="C257" s="28"/>
      <c r="D257" s="28"/>
    </row>
    <row r="258" customHeight="1" spans="1:4">
      <c r="A258" s="27"/>
      <c r="B258" s="28"/>
      <c r="C258" s="28"/>
      <c r="D258" s="28"/>
    </row>
    <row r="259" customHeight="1" spans="1:4">
      <c r="A259" s="27"/>
      <c r="B259" s="28"/>
      <c r="C259" s="28"/>
      <c r="D259" s="28"/>
    </row>
    <row r="260" customHeight="1" spans="1:4">
      <c r="A260" s="27"/>
      <c r="B260" s="28"/>
      <c r="C260" s="28"/>
      <c r="D260" s="28"/>
    </row>
    <row r="261" customHeight="1" spans="1:4">
      <c r="A261" s="27"/>
      <c r="B261" s="28"/>
      <c r="C261" s="28"/>
      <c r="D261" s="28"/>
    </row>
    <row r="262" customHeight="1" spans="1:4">
      <c r="A262" s="27"/>
      <c r="B262" s="28"/>
      <c r="C262" s="28"/>
      <c r="D262" s="28"/>
    </row>
    <row r="263" customHeight="1" spans="1:4">
      <c r="A263" s="27"/>
      <c r="B263" s="28"/>
      <c r="C263" s="28"/>
      <c r="D263" s="28"/>
    </row>
    <row r="264" customHeight="1" spans="1:4">
      <c r="A264" s="27"/>
      <c r="B264" s="28"/>
      <c r="C264" s="28"/>
      <c r="D264" s="28"/>
    </row>
    <row r="265" customHeight="1" spans="1:4">
      <c r="A265" s="27"/>
      <c r="B265" s="28"/>
      <c r="C265" s="28"/>
      <c r="D265" s="28"/>
    </row>
    <row r="266" customHeight="1" spans="1:4">
      <c r="A266" s="27"/>
      <c r="B266" s="28"/>
      <c r="C266" s="28"/>
      <c r="D266" s="28"/>
    </row>
    <row r="267" customHeight="1" spans="1:4">
      <c r="A267" s="27"/>
      <c r="B267" s="28"/>
      <c r="C267" s="28"/>
      <c r="D267" s="28"/>
    </row>
    <row r="268" customHeight="1" spans="1:4">
      <c r="A268" s="27"/>
      <c r="B268" s="28"/>
      <c r="C268" s="28"/>
      <c r="D268" s="28"/>
    </row>
    <row r="269" customHeight="1" spans="1:4">
      <c r="A269" s="27"/>
      <c r="B269" s="28"/>
      <c r="C269" s="28"/>
      <c r="D269" s="28"/>
    </row>
    <row r="270" customHeight="1" spans="1:4">
      <c r="A270" s="27"/>
      <c r="B270" s="28"/>
      <c r="C270" s="28"/>
      <c r="D270" s="28"/>
    </row>
    <row r="271" customHeight="1" spans="1:4">
      <c r="A271" s="27"/>
      <c r="B271" s="28"/>
      <c r="C271" s="28"/>
      <c r="D271" s="28"/>
    </row>
    <row r="272" customHeight="1" spans="1:4">
      <c r="A272" s="27"/>
      <c r="B272" s="28"/>
      <c r="C272" s="28"/>
      <c r="D272" s="28"/>
    </row>
    <row r="273" customHeight="1" spans="1:4">
      <c r="A273" s="27"/>
      <c r="B273" s="28"/>
      <c r="C273" s="28"/>
      <c r="D273" s="28"/>
    </row>
    <row r="274" customHeight="1" spans="1:4">
      <c r="A274" s="27"/>
      <c r="B274" s="28"/>
      <c r="C274" s="28"/>
      <c r="D274" s="28"/>
    </row>
    <row r="275" customHeight="1" spans="1:4">
      <c r="A275" s="27"/>
      <c r="B275" s="28"/>
      <c r="C275" s="28"/>
      <c r="D275" s="28"/>
    </row>
    <row r="276" customHeight="1" spans="1:4">
      <c r="A276" s="27"/>
      <c r="B276" s="28"/>
      <c r="C276" s="28"/>
      <c r="D276" s="28"/>
    </row>
    <row r="277" customHeight="1" spans="1:4">
      <c r="A277" s="27"/>
      <c r="B277" s="28"/>
      <c r="C277" s="28"/>
      <c r="D277" s="28"/>
    </row>
    <row r="278" customHeight="1" spans="1:4">
      <c r="A278" s="27"/>
      <c r="B278" s="28"/>
      <c r="C278" s="28"/>
      <c r="D278" s="28"/>
    </row>
    <row r="279" customHeight="1" spans="1:4">
      <c r="A279" s="27"/>
      <c r="B279" s="28"/>
      <c r="C279" s="28"/>
      <c r="D279" s="28"/>
    </row>
    <row r="280" customHeight="1" spans="1:4">
      <c r="A280" s="27"/>
      <c r="B280" s="28"/>
      <c r="C280" s="28"/>
      <c r="D280" s="28"/>
    </row>
    <row r="281" customHeight="1" spans="1:4">
      <c r="A281" s="27"/>
      <c r="B281" s="28"/>
      <c r="C281" s="28"/>
      <c r="D281" s="28"/>
    </row>
    <row r="282" customHeight="1" spans="1:4">
      <c r="A282" s="27"/>
      <c r="B282" s="28"/>
      <c r="C282" s="28"/>
      <c r="D282" s="28"/>
    </row>
    <row r="283" customHeight="1" spans="1:4">
      <c r="A283" s="27"/>
      <c r="B283" s="28"/>
      <c r="C283" s="28"/>
      <c r="D283" s="28"/>
    </row>
    <row r="284" customHeight="1" spans="1:4">
      <c r="A284" s="27"/>
      <c r="B284" s="28"/>
      <c r="C284" s="28"/>
      <c r="D284" s="28"/>
    </row>
    <row r="285" customHeight="1" spans="1:4">
      <c r="A285" s="27"/>
      <c r="B285" s="28"/>
      <c r="C285" s="28"/>
      <c r="D285" s="28"/>
    </row>
    <row r="286" customHeight="1" spans="1:4">
      <c r="A286" s="27"/>
      <c r="B286" s="28"/>
      <c r="C286" s="28"/>
      <c r="D286" s="28"/>
    </row>
    <row r="287" customHeight="1" spans="1:4">
      <c r="A287" s="27"/>
      <c r="B287" s="28"/>
      <c r="C287" s="28"/>
      <c r="D287" s="28"/>
    </row>
    <row r="288" customHeight="1" spans="1:4">
      <c r="A288" s="27"/>
      <c r="B288" s="28"/>
      <c r="C288" s="28"/>
      <c r="D288" s="28"/>
    </row>
    <row r="289" customHeight="1" spans="1:4">
      <c r="A289" s="27"/>
      <c r="B289" s="28"/>
      <c r="C289" s="28"/>
      <c r="D289" s="28"/>
    </row>
    <row r="290" customHeight="1" spans="1:4">
      <c r="A290" s="27"/>
      <c r="B290" s="28"/>
      <c r="C290" s="28"/>
      <c r="D290" s="28"/>
    </row>
    <row r="291" customHeight="1" spans="1:4">
      <c r="A291" s="27"/>
      <c r="B291" s="28"/>
      <c r="C291" s="28"/>
      <c r="D291" s="28"/>
    </row>
    <row r="292" customHeight="1" spans="1:4">
      <c r="A292" s="27"/>
      <c r="B292" s="28"/>
      <c r="C292" s="28"/>
      <c r="D292" s="28"/>
    </row>
    <row r="293" customHeight="1" spans="1:4">
      <c r="A293" s="27"/>
      <c r="B293" s="28"/>
      <c r="C293" s="28"/>
      <c r="D293" s="28"/>
    </row>
    <row r="294" customHeight="1" spans="1:4">
      <c r="A294" s="27"/>
      <c r="B294" s="28"/>
      <c r="C294" s="28"/>
      <c r="D294" s="28"/>
    </row>
    <row r="295" customHeight="1" spans="1:4">
      <c r="A295" s="27"/>
      <c r="B295" s="28"/>
      <c r="C295" s="28"/>
      <c r="D295" s="28"/>
    </row>
    <row r="296" customHeight="1" spans="1:4">
      <c r="A296" s="27"/>
      <c r="B296" s="28"/>
      <c r="C296" s="28"/>
      <c r="D296" s="28"/>
    </row>
    <row r="297" customHeight="1" spans="1:4">
      <c r="A297" s="27"/>
      <c r="B297" s="28"/>
      <c r="C297" s="28"/>
      <c r="D297" s="28"/>
    </row>
    <row r="298" customHeight="1" spans="1:4">
      <c r="A298" s="27"/>
      <c r="B298" s="28"/>
      <c r="C298" s="28"/>
      <c r="D298" s="28"/>
    </row>
    <row r="299" customHeight="1" spans="1:4">
      <c r="A299" s="27"/>
      <c r="B299" s="28"/>
      <c r="C299" s="28"/>
      <c r="D299" s="28"/>
    </row>
    <row r="300" customHeight="1" spans="1:4">
      <c r="A300" s="27"/>
      <c r="B300" s="28"/>
      <c r="C300" s="28"/>
      <c r="D300" s="28"/>
    </row>
    <row r="301" customHeight="1" spans="1:4">
      <c r="A301" s="27"/>
      <c r="B301" s="28"/>
      <c r="C301" s="28"/>
      <c r="D301" s="28"/>
    </row>
    <row r="302" customHeight="1" spans="1:4">
      <c r="A302" s="27"/>
      <c r="B302" s="28"/>
      <c r="C302" s="28"/>
      <c r="D302" s="28"/>
    </row>
    <row r="303" customHeight="1" spans="1:4">
      <c r="A303" s="27"/>
      <c r="B303" s="28"/>
      <c r="C303" s="28"/>
      <c r="D303" s="28"/>
    </row>
    <row r="304" customHeight="1" spans="1:4">
      <c r="A304" s="27"/>
      <c r="B304" s="28"/>
      <c r="C304" s="28"/>
      <c r="D304" s="28"/>
    </row>
    <row r="305" customHeight="1" spans="1:4">
      <c r="A305" s="27"/>
      <c r="B305" s="28"/>
      <c r="C305" s="28"/>
      <c r="D305" s="28"/>
    </row>
    <row r="306" customHeight="1" spans="1:4">
      <c r="A306" s="27"/>
      <c r="B306" s="28"/>
      <c r="C306" s="28"/>
      <c r="D306" s="28"/>
    </row>
    <row r="307" customHeight="1" spans="1:4">
      <c r="A307" s="27"/>
      <c r="B307" s="28"/>
      <c r="C307" s="28"/>
      <c r="D307" s="28"/>
    </row>
    <row r="308" customHeight="1" spans="1:4">
      <c r="A308" s="27"/>
      <c r="B308" s="28"/>
      <c r="C308" s="28"/>
      <c r="D308" s="28"/>
    </row>
    <row r="309" customHeight="1" spans="1:4">
      <c r="A309" s="27"/>
      <c r="B309" s="28"/>
      <c r="C309" s="28"/>
      <c r="D309" s="28"/>
    </row>
    <row r="310" customHeight="1" spans="1:4">
      <c r="A310" s="27"/>
      <c r="B310" s="28"/>
      <c r="C310" s="28"/>
      <c r="D310" s="28"/>
    </row>
    <row r="311" customHeight="1" spans="1:4">
      <c r="A311" s="27"/>
      <c r="B311" s="28"/>
      <c r="C311" s="28"/>
      <c r="D311" s="28"/>
    </row>
    <row r="312" customHeight="1" spans="1:4">
      <c r="A312" s="27"/>
      <c r="B312" s="28"/>
      <c r="C312" s="28"/>
      <c r="D312" s="28"/>
    </row>
    <row r="313" customHeight="1" spans="1:4">
      <c r="A313" s="27"/>
      <c r="B313" s="28"/>
      <c r="C313" s="28"/>
      <c r="D313" s="28"/>
    </row>
    <row r="314" customHeight="1" spans="1:4">
      <c r="A314" s="27"/>
      <c r="B314" s="28"/>
      <c r="C314" s="28"/>
      <c r="D314" s="28"/>
    </row>
    <row r="315" customHeight="1" spans="1:4">
      <c r="A315" s="27"/>
      <c r="B315" s="28"/>
      <c r="C315" s="28"/>
      <c r="D315" s="28"/>
    </row>
    <row r="316" customHeight="1" spans="1:4">
      <c r="A316" s="27"/>
      <c r="B316" s="28"/>
      <c r="C316" s="28"/>
      <c r="D316" s="28"/>
    </row>
    <row r="317" customHeight="1" spans="1:4">
      <c r="A317" s="27"/>
      <c r="B317" s="28"/>
      <c r="C317" s="28"/>
      <c r="D317" s="28"/>
    </row>
    <row r="318" customHeight="1" spans="1:4">
      <c r="A318" s="27"/>
      <c r="B318" s="28"/>
      <c r="C318" s="28"/>
      <c r="D318" s="28"/>
    </row>
    <row r="319" customHeight="1" spans="1:4">
      <c r="A319" s="27"/>
      <c r="B319" s="28"/>
      <c r="C319" s="28"/>
      <c r="D319" s="28"/>
    </row>
    <row r="320" customHeight="1" spans="1:4">
      <c r="A320" s="27"/>
      <c r="B320" s="28"/>
      <c r="C320" s="28"/>
      <c r="D320" s="28"/>
    </row>
    <row r="321" customHeight="1" spans="1:4">
      <c r="A321" s="27"/>
      <c r="B321" s="28"/>
      <c r="C321" s="28"/>
      <c r="D321" s="28"/>
    </row>
    <row r="322" customHeight="1" spans="1:4">
      <c r="A322" s="27"/>
      <c r="B322" s="28"/>
      <c r="C322" s="28"/>
      <c r="D322" s="28"/>
    </row>
    <row r="323" customHeight="1" spans="1:4">
      <c r="A323" s="27"/>
      <c r="B323" s="28"/>
      <c r="C323" s="28"/>
      <c r="D323" s="28"/>
    </row>
    <row r="324" customHeight="1" spans="1:4">
      <c r="A324" s="27"/>
      <c r="B324" s="28"/>
      <c r="C324" s="28"/>
      <c r="D324" s="28"/>
    </row>
    <row r="325" customHeight="1" spans="1:4">
      <c r="A325" s="27"/>
      <c r="B325" s="28"/>
      <c r="C325" s="28"/>
      <c r="D325" s="28"/>
    </row>
    <row r="326" customHeight="1" spans="1:4">
      <c r="A326" s="27"/>
      <c r="B326" s="28"/>
      <c r="C326" s="28"/>
      <c r="D326" s="28"/>
    </row>
    <row r="327" customHeight="1" spans="1:4">
      <c r="A327" s="27"/>
      <c r="B327" s="28"/>
      <c r="C327" s="28"/>
      <c r="D327" s="28"/>
    </row>
    <row r="328" customHeight="1" spans="1:4">
      <c r="A328" s="27"/>
      <c r="B328" s="28"/>
      <c r="C328" s="28"/>
      <c r="D328" s="28"/>
    </row>
    <row r="329" customHeight="1" spans="1:4">
      <c r="A329" s="27"/>
      <c r="B329" s="28"/>
      <c r="C329" s="28"/>
      <c r="D329" s="28"/>
    </row>
    <row r="330" customHeight="1" spans="1:4">
      <c r="A330" s="27"/>
      <c r="B330" s="28"/>
      <c r="C330" s="28"/>
      <c r="D330" s="28"/>
    </row>
    <row r="331" customHeight="1" spans="1:4">
      <c r="A331" s="27"/>
      <c r="B331" s="28"/>
      <c r="C331" s="28"/>
      <c r="D331" s="28"/>
    </row>
    <row r="332" customHeight="1" spans="1:4">
      <c r="A332" s="27"/>
      <c r="B332" s="28"/>
      <c r="C332" s="28"/>
      <c r="D332" s="28"/>
    </row>
    <row r="333" customHeight="1" spans="1:4">
      <c r="A333" s="27"/>
      <c r="B333" s="28"/>
      <c r="C333" s="28"/>
      <c r="D333" s="28"/>
    </row>
    <row r="334" customHeight="1" spans="1:4">
      <c r="A334" s="27"/>
      <c r="B334" s="28"/>
      <c r="C334" s="28"/>
      <c r="D334" s="28"/>
    </row>
    <row r="335" customHeight="1" spans="1:4">
      <c r="A335" s="27"/>
      <c r="B335" s="28"/>
      <c r="C335" s="28"/>
      <c r="D335" s="28"/>
    </row>
    <row r="336" customHeight="1" spans="1:4">
      <c r="A336" s="27"/>
      <c r="B336" s="28"/>
      <c r="C336" s="28"/>
      <c r="D336" s="28"/>
    </row>
    <row r="337" customHeight="1" spans="1:4">
      <c r="A337" s="27"/>
      <c r="B337" s="28"/>
      <c r="C337" s="28"/>
      <c r="D337" s="28"/>
    </row>
    <row r="338" customHeight="1" spans="1:4">
      <c r="A338" s="27"/>
      <c r="B338" s="28"/>
      <c r="C338" s="28"/>
      <c r="D338" s="28"/>
    </row>
    <row r="339" customHeight="1" spans="1:4">
      <c r="A339" s="27"/>
      <c r="B339" s="28"/>
      <c r="C339" s="28"/>
      <c r="D339" s="28"/>
    </row>
    <row r="340" customHeight="1" spans="1:4">
      <c r="A340" s="27"/>
      <c r="B340" s="28"/>
      <c r="C340" s="28"/>
      <c r="D340" s="28"/>
    </row>
    <row r="341" customHeight="1" spans="1:4">
      <c r="A341" s="27"/>
      <c r="B341" s="28"/>
      <c r="C341" s="28"/>
      <c r="D341" s="28"/>
    </row>
    <row r="342" customHeight="1" spans="1:4">
      <c r="A342" s="27"/>
      <c r="B342" s="28"/>
      <c r="C342" s="28"/>
      <c r="D342" s="28"/>
    </row>
    <row r="343" customHeight="1" spans="1:4">
      <c r="A343" s="27"/>
      <c r="B343" s="28"/>
      <c r="C343" s="28"/>
      <c r="D343" s="28"/>
    </row>
    <row r="344" customHeight="1" spans="1:4">
      <c r="A344" s="27"/>
      <c r="B344" s="28"/>
      <c r="C344" s="28"/>
      <c r="D344" s="28"/>
    </row>
    <row r="345" customHeight="1" spans="1:4">
      <c r="A345" s="27"/>
      <c r="B345" s="28"/>
      <c r="C345" s="28"/>
      <c r="D345" s="28"/>
    </row>
    <row r="346" customHeight="1" spans="1:4">
      <c r="A346" s="27"/>
      <c r="B346" s="28"/>
      <c r="C346" s="28"/>
      <c r="D346" s="28"/>
    </row>
    <row r="347" customHeight="1" spans="1:4">
      <c r="A347" s="27"/>
      <c r="B347" s="28"/>
      <c r="C347" s="28"/>
      <c r="D347" s="28"/>
    </row>
    <row r="348" customHeight="1" spans="1:4">
      <c r="A348" s="27"/>
      <c r="B348" s="28"/>
      <c r="C348" s="28"/>
      <c r="D348" s="28"/>
    </row>
    <row r="349" customHeight="1" spans="1:4">
      <c r="A349" s="27"/>
      <c r="B349" s="28"/>
      <c r="C349" s="28"/>
      <c r="D349" s="28"/>
    </row>
    <row r="350" customHeight="1" spans="1:4">
      <c r="A350" s="27"/>
      <c r="B350" s="28"/>
      <c r="C350" s="28"/>
      <c r="D350" s="28"/>
    </row>
    <row r="351" customHeight="1" spans="1:4">
      <c r="A351" s="27"/>
      <c r="B351" s="28"/>
      <c r="C351" s="28"/>
      <c r="D351" s="28"/>
    </row>
    <row r="352" customHeight="1" spans="1:4">
      <c r="A352" s="27"/>
      <c r="B352" s="28"/>
      <c r="C352" s="28"/>
      <c r="D352" s="28"/>
    </row>
    <row r="353" customHeight="1" spans="1:4">
      <c r="A353" s="27"/>
      <c r="B353" s="28"/>
      <c r="C353" s="28"/>
      <c r="D353" s="28"/>
    </row>
    <row r="354" customHeight="1" spans="1:4">
      <c r="A354" s="27"/>
      <c r="B354" s="28"/>
      <c r="C354" s="28"/>
      <c r="D354" s="28"/>
    </row>
    <row r="355" customHeight="1" spans="1:4">
      <c r="A355" s="27"/>
      <c r="B355" s="28"/>
      <c r="C355" s="28"/>
      <c r="D355" s="28"/>
    </row>
    <row r="356" customHeight="1" spans="1:4">
      <c r="A356" s="27"/>
      <c r="B356" s="28"/>
      <c r="C356" s="28"/>
      <c r="D356" s="28"/>
    </row>
    <row r="357" customHeight="1" spans="1:4">
      <c r="A357" s="27"/>
      <c r="B357" s="28"/>
      <c r="C357" s="28"/>
      <c r="D357" s="28"/>
    </row>
    <row r="358" customHeight="1" spans="1:4">
      <c r="A358" s="27"/>
      <c r="B358" s="28"/>
      <c r="C358" s="28"/>
      <c r="D358" s="28"/>
    </row>
    <row r="359" customHeight="1" spans="1:4">
      <c r="A359" s="27"/>
      <c r="B359" s="28"/>
      <c r="C359" s="28"/>
      <c r="D359" s="28"/>
    </row>
    <row r="360" customHeight="1" spans="1:4">
      <c r="A360" s="27"/>
      <c r="B360" s="28"/>
      <c r="C360" s="28"/>
      <c r="D360" s="28"/>
    </row>
    <row r="361" customHeight="1" spans="1:4">
      <c r="A361" s="27"/>
      <c r="B361" s="28"/>
      <c r="C361" s="28"/>
      <c r="D361" s="28"/>
    </row>
    <row r="362" customHeight="1" spans="1:4">
      <c r="A362" s="27"/>
      <c r="B362" s="28"/>
      <c r="C362" s="28"/>
      <c r="D362" s="28"/>
    </row>
    <row r="363" customHeight="1" spans="1:4">
      <c r="A363" s="27"/>
      <c r="B363" s="28"/>
      <c r="C363" s="28"/>
      <c r="D363" s="28"/>
    </row>
    <row r="364" customHeight="1" spans="1:4">
      <c r="A364" s="27"/>
      <c r="B364" s="28"/>
      <c r="C364" s="28"/>
      <c r="D364" s="28"/>
    </row>
    <row r="365" customHeight="1" spans="1:4">
      <c r="A365" s="27"/>
      <c r="B365" s="28"/>
      <c r="C365" s="28"/>
      <c r="D365" s="28"/>
    </row>
    <row r="366" customHeight="1" spans="1:4">
      <c r="A366" s="27"/>
      <c r="B366" s="28"/>
      <c r="C366" s="28"/>
      <c r="D366" s="28"/>
    </row>
    <row r="367" customHeight="1" spans="1:4">
      <c r="A367" s="27"/>
      <c r="B367" s="28"/>
      <c r="C367" s="28"/>
      <c r="D367" s="28"/>
    </row>
    <row r="368" customHeight="1" spans="1:4">
      <c r="A368" s="27"/>
      <c r="B368" s="28"/>
      <c r="C368" s="28"/>
      <c r="D368" s="28"/>
    </row>
    <row r="369" customHeight="1" spans="1:4">
      <c r="A369" s="27"/>
      <c r="B369" s="28"/>
      <c r="C369" s="28"/>
      <c r="D369" s="28"/>
    </row>
    <row r="370" customHeight="1" spans="1:4">
      <c r="A370" s="27"/>
      <c r="B370" s="28"/>
      <c r="C370" s="28"/>
      <c r="D370" s="28"/>
    </row>
    <row r="371" customHeight="1" spans="1:4">
      <c r="A371" s="27"/>
      <c r="B371" s="28"/>
      <c r="C371" s="28"/>
      <c r="D371" s="28"/>
    </row>
    <row r="372" customHeight="1" spans="1:4">
      <c r="A372" s="27"/>
      <c r="B372" s="28"/>
      <c r="C372" s="28"/>
      <c r="D372" s="28"/>
    </row>
    <row r="373" customHeight="1" spans="1:4">
      <c r="A373" s="27"/>
      <c r="B373" s="28"/>
      <c r="C373" s="28"/>
      <c r="D373" s="28"/>
    </row>
    <row r="374" customHeight="1" spans="1:4">
      <c r="A374" s="27"/>
      <c r="B374" s="28"/>
      <c r="C374" s="28"/>
      <c r="D374" s="28"/>
    </row>
    <row r="375" customHeight="1" spans="1:4">
      <c r="A375" s="27"/>
      <c r="B375" s="28"/>
      <c r="C375" s="28"/>
      <c r="D375" s="28"/>
    </row>
    <row r="376" customHeight="1" spans="1:4">
      <c r="A376" s="27"/>
      <c r="B376" s="28"/>
      <c r="C376" s="28"/>
      <c r="D376" s="28"/>
    </row>
    <row r="377" customHeight="1" spans="1:4">
      <c r="A377" s="27"/>
      <c r="B377" s="28"/>
      <c r="C377" s="28"/>
      <c r="D377" s="28"/>
    </row>
    <row r="378" customHeight="1" spans="1:4">
      <c r="A378" s="27"/>
      <c r="B378" s="28"/>
      <c r="C378" s="28"/>
      <c r="D378" s="28"/>
    </row>
    <row r="379" customHeight="1" spans="1:4">
      <c r="A379" s="27"/>
      <c r="B379" s="28"/>
      <c r="C379" s="28"/>
      <c r="D379" s="28"/>
    </row>
    <row r="380" customHeight="1" spans="1:4">
      <c r="A380" s="27"/>
      <c r="B380" s="28"/>
      <c r="C380" s="28"/>
      <c r="D380" s="28"/>
    </row>
    <row r="381" customHeight="1" spans="1:4">
      <c r="A381" s="27"/>
      <c r="B381" s="28"/>
      <c r="C381" s="28"/>
      <c r="D381" s="28"/>
    </row>
    <row r="382" customHeight="1" spans="1:4">
      <c r="A382" s="27"/>
      <c r="B382" s="28"/>
      <c r="C382" s="28"/>
      <c r="D382" s="28"/>
    </row>
    <row r="383" customHeight="1" spans="1:4">
      <c r="A383" s="27"/>
      <c r="B383" s="28"/>
      <c r="C383" s="28"/>
      <c r="D383" s="28"/>
    </row>
    <row r="384" customHeight="1" spans="1:4">
      <c r="A384" s="27"/>
      <c r="B384" s="28"/>
      <c r="C384" s="28"/>
      <c r="D384" s="28"/>
    </row>
    <row r="385" customHeight="1" spans="1:4">
      <c r="A385" s="27"/>
      <c r="B385" s="28"/>
      <c r="C385" s="28"/>
      <c r="D385" s="28"/>
    </row>
    <row r="386" customHeight="1" spans="1:4">
      <c r="A386" s="27"/>
      <c r="B386" s="28"/>
      <c r="C386" s="28"/>
      <c r="D386" s="28"/>
    </row>
    <row r="387" customHeight="1" spans="1:4">
      <c r="A387" s="27"/>
      <c r="B387" s="28"/>
      <c r="C387" s="28"/>
      <c r="D387" s="28"/>
    </row>
    <row r="388" customHeight="1" spans="1:4">
      <c r="A388" s="27"/>
      <c r="B388" s="28"/>
      <c r="C388" s="28"/>
      <c r="D388" s="28"/>
    </row>
    <row r="389" customHeight="1" spans="1:4">
      <c r="A389" s="27"/>
      <c r="B389" s="28"/>
      <c r="C389" s="28"/>
      <c r="D389" s="28"/>
    </row>
    <row r="390" customHeight="1" spans="1:4">
      <c r="A390" s="27"/>
      <c r="B390" s="28"/>
      <c r="C390" s="28"/>
      <c r="D390" s="28"/>
    </row>
    <row r="391" customHeight="1" spans="1:4">
      <c r="A391" s="27"/>
      <c r="B391" s="28"/>
      <c r="C391" s="28"/>
      <c r="D391" s="28"/>
    </row>
    <row r="392" customHeight="1" spans="1:4">
      <c r="A392" s="27"/>
      <c r="B392" s="28"/>
      <c r="C392" s="28"/>
      <c r="D392" s="28"/>
    </row>
    <row r="393" customHeight="1" spans="1:4">
      <c r="A393" s="27"/>
      <c r="B393" s="28"/>
      <c r="C393" s="28"/>
      <c r="D393" s="28"/>
    </row>
    <row r="394" customHeight="1" spans="1:4">
      <c r="A394" s="27"/>
      <c r="B394" s="28"/>
      <c r="C394" s="28"/>
      <c r="D394" s="28"/>
    </row>
    <row r="395" customHeight="1" spans="1:4">
      <c r="A395" s="27"/>
      <c r="B395" s="28"/>
      <c r="C395" s="28"/>
      <c r="D395" s="28"/>
    </row>
    <row r="396" customHeight="1" spans="1:4">
      <c r="A396" s="27"/>
      <c r="B396" s="28"/>
      <c r="C396" s="28"/>
      <c r="D396" s="28"/>
    </row>
    <row r="397" customHeight="1" spans="1:4">
      <c r="A397" s="27"/>
      <c r="B397" s="28"/>
      <c r="C397" s="28"/>
      <c r="D397" s="28"/>
    </row>
    <row r="398" customHeight="1" spans="1:4">
      <c r="A398" s="27"/>
      <c r="B398" s="28"/>
      <c r="C398" s="28"/>
      <c r="D398" s="28"/>
    </row>
    <row r="399" customHeight="1" spans="1:4">
      <c r="A399" s="27"/>
      <c r="B399" s="28"/>
      <c r="C399" s="28"/>
      <c r="D399" s="28"/>
    </row>
    <row r="400" customHeight="1" spans="1:4">
      <c r="A400" s="27"/>
      <c r="B400" s="28"/>
      <c r="C400" s="28"/>
      <c r="D400" s="28"/>
    </row>
    <row r="401" customHeight="1" spans="1:4">
      <c r="A401" s="27"/>
      <c r="B401" s="28"/>
      <c r="C401" s="28"/>
      <c r="D401" s="28"/>
    </row>
    <row r="402" customHeight="1" spans="1:4">
      <c r="A402" s="27"/>
      <c r="B402" s="28"/>
      <c r="C402" s="28"/>
      <c r="D402" s="28"/>
    </row>
    <row r="403" customHeight="1" spans="1:4">
      <c r="A403" s="27"/>
      <c r="B403" s="28"/>
      <c r="C403" s="28"/>
      <c r="D403" s="28"/>
    </row>
    <row r="404" customHeight="1" spans="1:4">
      <c r="A404" s="27"/>
      <c r="B404" s="28"/>
      <c r="C404" s="28"/>
      <c r="D404" s="28"/>
    </row>
    <row r="405" customHeight="1" spans="1:4">
      <c r="A405" s="27"/>
      <c r="B405" s="28"/>
      <c r="C405" s="28"/>
      <c r="D405" s="28"/>
    </row>
    <row r="406" customHeight="1" spans="1:4">
      <c r="A406" s="27"/>
      <c r="B406" s="28"/>
      <c r="C406" s="28"/>
      <c r="D406" s="28"/>
    </row>
    <row r="407" customHeight="1" spans="1:4">
      <c r="A407" s="27"/>
      <c r="B407" s="28"/>
      <c r="C407" s="28"/>
      <c r="D407" s="28"/>
    </row>
    <row r="408" customHeight="1" spans="1:4">
      <c r="A408" s="27"/>
      <c r="B408" s="28"/>
      <c r="C408" s="28"/>
      <c r="D408" s="28"/>
    </row>
    <row r="409" customHeight="1" spans="1:4">
      <c r="A409" s="27"/>
      <c r="B409" s="28"/>
      <c r="C409" s="28"/>
      <c r="D409" s="28"/>
    </row>
    <row r="410" customHeight="1" spans="1:4">
      <c r="A410" s="27"/>
      <c r="B410" s="28"/>
      <c r="C410" s="28"/>
      <c r="D410" s="28"/>
    </row>
    <row r="411" customHeight="1" spans="1:4">
      <c r="A411" s="27"/>
      <c r="B411" s="28"/>
      <c r="C411" s="28"/>
      <c r="D411" s="28"/>
    </row>
    <row r="412" customHeight="1" spans="1:4">
      <c r="A412" s="27"/>
      <c r="B412" s="28"/>
      <c r="C412" s="28"/>
      <c r="D412" s="28"/>
    </row>
    <row r="413" customHeight="1" spans="1:4">
      <c r="A413" s="27"/>
      <c r="B413" s="28"/>
      <c r="C413" s="28"/>
      <c r="D413" s="28"/>
    </row>
    <row r="414" customHeight="1" spans="1:4">
      <c r="A414" s="27"/>
      <c r="B414" s="28"/>
      <c r="C414" s="28"/>
      <c r="D414" s="28"/>
    </row>
    <row r="415" customHeight="1" spans="1:4">
      <c r="A415" s="27"/>
      <c r="B415" s="28"/>
      <c r="C415" s="28"/>
      <c r="D415" s="28"/>
    </row>
    <row r="416" customHeight="1" spans="1:4">
      <c r="A416" s="27"/>
      <c r="B416" s="28"/>
      <c r="C416" s="28"/>
      <c r="D416" s="28"/>
    </row>
    <row r="417" customHeight="1" spans="1:4">
      <c r="A417" s="27"/>
      <c r="B417" s="28"/>
      <c r="C417" s="28"/>
      <c r="D417" s="28"/>
    </row>
    <row r="418" customHeight="1" spans="1:4">
      <c r="A418" s="27"/>
      <c r="B418" s="28"/>
      <c r="C418" s="28"/>
      <c r="D418" s="28"/>
    </row>
    <row r="419" customHeight="1" spans="1:4">
      <c r="A419" s="27"/>
      <c r="B419" s="28"/>
      <c r="C419" s="28"/>
      <c r="D419" s="28"/>
    </row>
    <row r="420" customHeight="1" spans="1:4">
      <c r="A420" s="27"/>
      <c r="B420" s="28"/>
      <c r="C420" s="28"/>
      <c r="D420" s="28"/>
    </row>
    <row r="421" customHeight="1" spans="1:4">
      <c r="A421" s="27"/>
      <c r="B421" s="28"/>
      <c r="C421" s="28"/>
      <c r="D421" s="28"/>
    </row>
    <row r="422" customHeight="1" spans="1:4">
      <c r="A422" s="27"/>
      <c r="B422" s="28"/>
      <c r="C422" s="28"/>
      <c r="D422" s="28"/>
    </row>
    <row r="423" customHeight="1" spans="1:4">
      <c r="A423" s="27"/>
      <c r="B423" s="28"/>
      <c r="C423" s="28"/>
      <c r="D423" s="28"/>
    </row>
    <row r="424" customHeight="1" spans="1:4">
      <c r="A424" s="27"/>
      <c r="B424" s="28"/>
      <c r="C424" s="28"/>
      <c r="D424" s="28"/>
    </row>
    <row r="425" customHeight="1" spans="1:4">
      <c r="A425" s="27"/>
      <c r="B425" s="28"/>
      <c r="C425" s="28"/>
      <c r="D425" s="28"/>
    </row>
    <row r="426" customHeight="1" spans="1:4">
      <c r="A426" s="27"/>
      <c r="B426" s="28"/>
      <c r="C426" s="28"/>
      <c r="D426" s="28"/>
    </row>
    <row r="427" customHeight="1" spans="1:4">
      <c r="A427" s="27"/>
      <c r="B427" s="28"/>
      <c r="C427" s="28"/>
      <c r="D427" s="28"/>
    </row>
    <row r="428" customHeight="1" spans="1:4">
      <c r="A428" s="27"/>
      <c r="B428" s="28"/>
      <c r="C428" s="28"/>
      <c r="D428" s="28"/>
    </row>
    <row r="429" customHeight="1" spans="1:4">
      <c r="A429" s="27"/>
      <c r="B429" s="28"/>
      <c r="C429" s="28"/>
      <c r="D429" s="28"/>
    </row>
    <row r="430" customHeight="1" spans="1:4">
      <c r="A430" s="27"/>
      <c r="B430" s="28"/>
      <c r="C430" s="28"/>
      <c r="D430" s="28"/>
    </row>
    <row r="431" customHeight="1" spans="1:4">
      <c r="A431" s="27"/>
      <c r="B431" s="28"/>
      <c r="C431" s="28"/>
      <c r="D431" s="28"/>
    </row>
    <row r="432" customHeight="1" spans="1:4">
      <c r="A432" s="27"/>
      <c r="B432" s="28"/>
      <c r="C432" s="28"/>
      <c r="D432" s="28"/>
    </row>
    <row r="433" customHeight="1" spans="1:4">
      <c r="A433" s="27"/>
      <c r="B433" s="28"/>
      <c r="C433" s="28"/>
      <c r="D433" s="28"/>
    </row>
    <row r="434" customHeight="1" spans="1:4">
      <c r="A434" s="27"/>
      <c r="B434" s="28"/>
      <c r="C434" s="28"/>
      <c r="D434" s="28"/>
    </row>
    <row r="435" customHeight="1" spans="1:4">
      <c r="A435" s="27"/>
      <c r="B435" s="28"/>
      <c r="C435" s="28"/>
      <c r="D435" s="28"/>
    </row>
    <row r="436" customHeight="1" spans="1:4">
      <c r="A436" s="27"/>
      <c r="B436" s="28"/>
      <c r="C436" s="28"/>
      <c r="D436" s="28"/>
    </row>
    <row r="437" customHeight="1" spans="1:4">
      <c r="A437" s="27"/>
      <c r="B437" s="28"/>
      <c r="C437" s="28"/>
      <c r="D437" s="28"/>
    </row>
    <row r="438" customHeight="1" spans="1:4">
      <c r="A438" s="27"/>
      <c r="B438" s="28"/>
      <c r="C438" s="28"/>
      <c r="D438" s="28"/>
    </row>
    <row r="439" customHeight="1" spans="1:4">
      <c r="A439" s="27"/>
      <c r="B439" s="28"/>
      <c r="C439" s="28"/>
      <c r="D439" s="28"/>
    </row>
    <row r="440" customHeight="1" spans="1:4">
      <c r="A440" s="27"/>
      <c r="B440" s="28"/>
      <c r="C440" s="28"/>
      <c r="D440" s="28"/>
    </row>
    <row r="441" customHeight="1" spans="1:4">
      <c r="A441" s="27"/>
      <c r="B441" s="28"/>
      <c r="C441" s="28"/>
      <c r="D441" s="28"/>
    </row>
    <row r="442" customHeight="1" spans="1:4">
      <c r="A442" s="27"/>
      <c r="B442" s="28"/>
      <c r="C442" s="28"/>
      <c r="D442" s="28"/>
    </row>
    <row r="443" customHeight="1" spans="1:4">
      <c r="A443" s="27"/>
      <c r="B443" s="28"/>
      <c r="C443" s="28"/>
      <c r="D443" s="28"/>
    </row>
    <row r="444" customHeight="1" spans="1:4">
      <c r="A444" s="27"/>
      <c r="B444" s="28"/>
      <c r="C444" s="28"/>
      <c r="D444" s="28"/>
    </row>
    <row r="445" customHeight="1" spans="1:4">
      <c r="A445" s="27"/>
      <c r="B445" s="28"/>
      <c r="C445" s="28"/>
      <c r="D445" s="28"/>
    </row>
    <row r="446" customHeight="1" spans="1:4">
      <c r="A446" s="27"/>
      <c r="B446" s="28"/>
      <c r="C446" s="28"/>
      <c r="D446" s="28"/>
    </row>
    <row r="447" customHeight="1" spans="1:4">
      <c r="A447" s="27"/>
      <c r="B447" s="28"/>
      <c r="C447" s="28"/>
      <c r="D447" s="28"/>
    </row>
    <row r="448" customHeight="1" spans="1:4">
      <c r="A448" s="27"/>
      <c r="B448" s="28"/>
      <c r="C448" s="28"/>
      <c r="D448" s="28"/>
    </row>
    <row r="449" customHeight="1" spans="1:4">
      <c r="A449" s="27"/>
      <c r="B449" s="28"/>
      <c r="C449" s="28"/>
      <c r="D449" s="28"/>
    </row>
    <row r="450" customHeight="1" spans="1:4">
      <c r="A450" s="27"/>
      <c r="B450" s="28"/>
      <c r="C450" s="28"/>
      <c r="D450" s="28"/>
    </row>
    <row r="451" customHeight="1" spans="1:4">
      <c r="A451" s="27"/>
      <c r="B451" s="28"/>
      <c r="C451" s="28"/>
      <c r="D451" s="28"/>
    </row>
    <row r="452" customHeight="1" spans="1:4">
      <c r="A452" s="27"/>
      <c r="B452" s="28"/>
      <c r="C452" s="28"/>
      <c r="D452" s="28"/>
    </row>
    <row r="453" customHeight="1" spans="1:4">
      <c r="A453" s="27"/>
      <c r="B453" s="28"/>
      <c r="C453" s="28"/>
      <c r="D453" s="28"/>
    </row>
    <row r="454" customHeight="1" spans="1:4">
      <c r="A454" s="27"/>
      <c r="B454" s="28"/>
      <c r="C454" s="28"/>
      <c r="D454" s="28"/>
    </row>
    <row r="455" customHeight="1" spans="1:4">
      <c r="A455" s="27"/>
      <c r="B455" s="28"/>
      <c r="C455" s="28"/>
      <c r="D455" s="28"/>
    </row>
    <row r="456" customHeight="1" spans="1:4">
      <c r="A456" s="27"/>
      <c r="B456" s="28"/>
      <c r="C456" s="28"/>
      <c r="D456" s="28"/>
    </row>
    <row r="457" customHeight="1" spans="1:4">
      <c r="A457" s="27"/>
      <c r="B457" s="28"/>
      <c r="C457" s="28"/>
      <c r="D457" s="28"/>
    </row>
    <row r="458" customHeight="1" spans="1:4">
      <c r="A458" s="27"/>
      <c r="B458" s="28"/>
      <c r="C458" s="28"/>
      <c r="D458" s="28"/>
    </row>
    <row r="459" customHeight="1" spans="1:4">
      <c r="A459" s="27"/>
      <c r="B459" s="28"/>
      <c r="C459" s="28"/>
      <c r="D459" s="28"/>
    </row>
    <row r="460" customHeight="1" spans="1:4">
      <c r="A460" s="27"/>
      <c r="B460" s="28"/>
      <c r="C460" s="28"/>
      <c r="D460" s="28"/>
    </row>
    <row r="461" customHeight="1" spans="1:4">
      <c r="A461" s="27"/>
      <c r="B461" s="28"/>
      <c r="C461" s="28"/>
      <c r="D461" s="28"/>
    </row>
    <row r="462" customHeight="1" spans="1:4">
      <c r="A462" s="27"/>
      <c r="B462" s="28"/>
      <c r="C462" s="28"/>
      <c r="D462" s="28"/>
    </row>
    <row r="463" customHeight="1" spans="1:4">
      <c r="A463" s="27"/>
      <c r="B463" s="28"/>
      <c r="C463" s="28"/>
      <c r="D463" s="28"/>
    </row>
    <row r="464" customHeight="1" spans="1:4">
      <c r="A464" s="27"/>
      <c r="B464" s="28"/>
      <c r="C464" s="28"/>
      <c r="D464" s="28"/>
    </row>
    <row r="465" customHeight="1" spans="1:4">
      <c r="A465" s="27"/>
      <c r="B465" s="28"/>
      <c r="C465" s="28"/>
      <c r="D465" s="28"/>
    </row>
    <row r="466" customHeight="1" spans="1:4">
      <c r="A466" s="27"/>
      <c r="B466" s="28"/>
      <c r="C466" s="28"/>
      <c r="D466" s="28"/>
    </row>
    <row r="467" customHeight="1" spans="1:4">
      <c r="A467" s="27"/>
      <c r="B467" s="28"/>
      <c r="C467" s="28"/>
      <c r="D467" s="28"/>
    </row>
    <row r="468" customHeight="1" spans="1:4">
      <c r="A468" s="27"/>
      <c r="B468" s="28"/>
      <c r="C468" s="28"/>
      <c r="D468" s="28"/>
    </row>
    <row r="469" customHeight="1" spans="1:4">
      <c r="A469" s="27"/>
      <c r="B469" s="28"/>
      <c r="C469" s="28"/>
      <c r="D469" s="28"/>
    </row>
    <row r="470" customHeight="1" spans="1:4">
      <c r="A470" s="27"/>
      <c r="B470" s="28"/>
      <c r="C470" s="28"/>
      <c r="D470" s="28"/>
    </row>
    <row r="471" customHeight="1" spans="1:4">
      <c r="A471" s="27"/>
      <c r="B471" s="28"/>
      <c r="C471" s="28"/>
      <c r="D471" s="28"/>
    </row>
    <row r="472" customHeight="1" spans="1:4">
      <c r="A472" s="27"/>
      <c r="B472" s="28"/>
      <c r="C472" s="28"/>
      <c r="D472" s="28"/>
    </row>
    <row r="473" customHeight="1" spans="1:4">
      <c r="A473" s="27"/>
      <c r="B473" s="28"/>
      <c r="C473" s="28"/>
      <c r="D473" s="28"/>
    </row>
    <row r="474" customHeight="1" spans="1:4">
      <c r="A474" s="27"/>
      <c r="B474" s="28"/>
      <c r="C474" s="28"/>
      <c r="D474" s="28"/>
    </row>
    <row r="475" customHeight="1" spans="1:4">
      <c r="A475" s="27"/>
      <c r="B475" s="28"/>
      <c r="C475" s="28"/>
      <c r="D475" s="28"/>
    </row>
    <row r="476" customHeight="1" spans="1:4">
      <c r="A476" s="27"/>
      <c r="B476" s="28"/>
      <c r="C476" s="28"/>
      <c r="D476" s="28"/>
    </row>
    <row r="477" customHeight="1" spans="1:4">
      <c r="A477" s="27"/>
      <c r="B477" s="28"/>
      <c r="C477" s="28"/>
      <c r="D477" s="28"/>
    </row>
    <row r="478" customHeight="1" spans="1:4">
      <c r="A478" s="27"/>
      <c r="B478" s="28"/>
      <c r="C478" s="28"/>
      <c r="D478" s="28"/>
    </row>
    <row r="479" customHeight="1" spans="1:4">
      <c r="A479" s="27"/>
      <c r="B479" s="28"/>
      <c r="C479" s="28"/>
      <c r="D479" s="28"/>
    </row>
    <row r="480" customHeight="1" spans="1:4">
      <c r="A480" s="27"/>
      <c r="B480" s="28"/>
      <c r="C480" s="28"/>
      <c r="D480" s="28"/>
    </row>
    <row r="481" customHeight="1" spans="1:4">
      <c r="A481" s="27"/>
      <c r="B481" s="28"/>
      <c r="C481" s="28"/>
      <c r="D481" s="28"/>
    </row>
    <row r="482" customHeight="1" spans="1:4">
      <c r="A482" s="27"/>
      <c r="B482" s="28"/>
      <c r="C482" s="28"/>
      <c r="D482" s="28"/>
    </row>
    <row r="483" customHeight="1" spans="1:4">
      <c r="A483" s="27"/>
      <c r="B483" s="28"/>
      <c r="C483" s="28"/>
      <c r="D483" s="28"/>
    </row>
    <row r="484" customHeight="1" spans="1:4">
      <c r="A484" s="27"/>
      <c r="B484" s="28"/>
      <c r="C484" s="28"/>
      <c r="D484" s="28"/>
    </row>
    <row r="485" customHeight="1" spans="1:4">
      <c r="A485" s="27"/>
      <c r="B485" s="28"/>
      <c r="C485" s="28"/>
      <c r="D485" s="28"/>
    </row>
    <row r="486" customHeight="1" spans="1:4">
      <c r="A486" s="27"/>
      <c r="B486" s="28"/>
      <c r="C486" s="28"/>
      <c r="D486" s="28"/>
    </row>
    <row r="487" customHeight="1" spans="1:4">
      <c r="A487" s="27"/>
      <c r="B487" s="28"/>
      <c r="C487" s="28"/>
      <c r="D487" s="28"/>
    </row>
    <row r="488" customHeight="1" spans="1:4">
      <c r="A488" s="27"/>
      <c r="B488" s="28"/>
      <c r="C488" s="28"/>
      <c r="D488" s="28"/>
    </row>
    <row r="489" customHeight="1" spans="1:4">
      <c r="A489" s="27"/>
      <c r="B489" s="28"/>
      <c r="C489" s="28"/>
      <c r="D489" s="28"/>
    </row>
    <row r="490" customHeight="1" spans="1:4">
      <c r="A490" s="27"/>
      <c r="B490" s="28"/>
      <c r="C490" s="28"/>
      <c r="D490" s="28"/>
    </row>
    <row r="491" customHeight="1" spans="1:4">
      <c r="A491" s="27"/>
      <c r="B491" s="28"/>
      <c r="C491" s="28"/>
      <c r="D491" s="28"/>
    </row>
    <row r="492" customHeight="1" spans="1:4">
      <c r="A492" s="27"/>
      <c r="B492" s="28"/>
      <c r="C492" s="28"/>
      <c r="D492" s="28"/>
    </row>
    <row r="493" customHeight="1" spans="1:4">
      <c r="A493" s="27"/>
      <c r="B493" s="28"/>
      <c r="C493" s="28"/>
      <c r="D493" s="28"/>
    </row>
    <row r="494" customHeight="1" spans="1:4">
      <c r="A494" s="27"/>
      <c r="B494" s="28"/>
      <c r="C494" s="28"/>
      <c r="D494" s="28"/>
    </row>
    <row r="495" customHeight="1" spans="1:4">
      <c r="A495" s="27"/>
      <c r="B495" s="28"/>
      <c r="C495" s="28"/>
      <c r="D495" s="28"/>
    </row>
    <row r="496" customHeight="1" spans="1:4">
      <c r="A496" s="27"/>
      <c r="B496" s="28"/>
      <c r="C496" s="28"/>
      <c r="D496" s="28"/>
    </row>
    <row r="497" customHeight="1" spans="1:4">
      <c r="A497" s="27"/>
      <c r="B497" s="28"/>
      <c r="C497" s="28"/>
      <c r="D497" s="28"/>
    </row>
    <row r="498" customHeight="1" spans="1:4">
      <c r="A498" s="27"/>
      <c r="B498" s="28"/>
      <c r="C498" s="28"/>
      <c r="D498" s="28"/>
    </row>
    <row r="499" customHeight="1" spans="1:4">
      <c r="A499" s="27"/>
      <c r="B499" s="28"/>
      <c r="C499" s="28"/>
      <c r="D499" s="28"/>
    </row>
    <row r="500" customHeight="1" spans="1:4">
      <c r="A500" s="27"/>
      <c r="B500" s="28"/>
      <c r="C500" s="28"/>
      <c r="D500" s="28"/>
    </row>
    <row r="501" customHeight="1" spans="1:4">
      <c r="A501" s="27"/>
      <c r="B501" s="28"/>
      <c r="C501" s="28"/>
      <c r="D501" s="28"/>
    </row>
    <row r="502" customHeight="1" spans="1:4">
      <c r="A502" s="27"/>
      <c r="B502" s="28"/>
      <c r="C502" s="28"/>
      <c r="D502" s="28"/>
    </row>
    <row r="503" customHeight="1" spans="1:4">
      <c r="A503" s="27"/>
      <c r="B503" s="28"/>
      <c r="C503" s="28"/>
      <c r="D503" s="28"/>
    </row>
    <row r="504" customHeight="1" spans="1:4">
      <c r="A504" s="27"/>
      <c r="B504" s="28"/>
      <c r="C504" s="28"/>
      <c r="D504" s="28"/>
    </row>
    <row r="505" customHeight="1" spans="1:4">
      <c r="A505" s="27"/>
      <c r="B505" s="28"/>
      <c r="C505" s="28"/>
      <c r="D505" s="28"/>
    </row>
    <row r="506" customHeight="1" spans="1:4">
      <c r="A506" s="27"/>
      <c r="B506" s="28"/>
      <c r="C506" s="28"/>
      <c r="D506" s="28"/>
    </row>
    <row r="507" customHeight="1" spans="1:4">
      <c r="A507" s="27"/>
      <c r="B507" s="28"/>
      <c r="C507" s="28"/>
      <c r="D507" s="28"/>
    </row>
    <row r="508" customHeight="1" spans="1:4">
      <c r="A508" s="27"/>
      <c r="B508" s="28"/>
      <c r="C508" s="28"/>
      <c r="D508" s="28"/>
    </row>
    <row r="509" customHeight="1" spans="1:4">
      <c r="A509" s="27"/>
      <c r="B509" s="28"/>
      <c r="C509" s="28"/>
      <c r="D509" s="28"/>
    </row>
    <row r="510" customHeight="1" spans="1:4">
      <c r="A510" s="27"/>
      <c r="B510" s="28"/>
      <c r="C510" s="28"/>
      <c r="D510" s="28"/>
    </row>
    <row r="511" customHeight="1" spans="1:4">
      <c r="A511" s="27"/>
      <c r="B511" s="28"/>
      <c r="C511" s="28"/>
      <c r="D511" s="28"/>
    </row>
    <row r="512" customHeight="1" spans="1:4">
      <c r="A512" s="27"/>
      <c r="B512" s="28"/>
      <c r="C512" s="28"/>
      <c r="D512" s="28"/>
    </row>
    <row r="513" customHeight="1" spans="1:4">
      <c r="A513" s="27"/>
      <c r="B513" s="28"/>
      <c r="C513" s="28"/>
      <c r="D513" s="28"/>
    </row>
    <row r="514" customHeight="1" spans="1:4">
      <c r="A514" s="27"/>
      <c r="B514" s="28"/>
      <c r="C514" s="28"/>
      <c r="D514" s="28"/>
    </row>
    <row r="515" customHeight="1" spans="1:4">
      <c r="A515" s="27"/>
      <c r="B515" s="28"/>
      <c r="C515" s="28"/>
      <c r="D515" s="28"/>
    </row>
    <row r="516" customHeight="1" spans="1:4">
      <c r="A516" s="27"/>
      <c r="B516" s="28"/>
      <c r="C516" s="28"/>
      <c r="D516" s="28"/>
    </row>
    <row r="517" customHeight="1" spans="1:4">
      <c r="A517" s="27"/>
      <c r="B517" s="28"/>
      <c r="C517" s="28"/>
      <c r="D517" s="28"/>
    </row>
    <row r="518" customHeight="1" spans="1:4">
      <c r="A518" s="27"/>
      <c r="B518" s="28"/>
      <c r="C518" s="28"/>
      <c r="D518" s="28"/>
    </row>
    <row r="519" customHeight="1" spans="1:4">
      <c r="A519" s="27"/>
      <c r="B519" s="28"/>
      <c r="C519" s="28"/>
      <c r="D519" s="28"/>
    </row>
    <row r="520" customHeight="1" spans="1:4">
      <c r="A520" s="27"/>
      <c r="B520" s="28"/>
      <c r="C520" s="28"/>
      <c r="D520" s="28"/>
    </row>
    <row r="521" customHeight="1" spans="1:4">
      <c r="A521" s="27"/>
      <c r="B521" s="28"/>
      <c r="C521" s="28"/>
      <c r="D521" s="28"/>
    </row>
    <row r="522" customHeight="1" spans="1:4">
      <c r="A522" s="27"/>
      <c r="B522" s="28"/>
      <c r="C522" s="28"/>
      <c r="D522" s="28"/>
    </row>
    <row r="523" customHeight="1" spans="1:4">
      <c r="A523" s="27"/>
      <c r="B523" s="28"/>
      <c r="C523" s="28"/>
      <c r="D523" s="28"/>
    </row>
    <row r="524" customHeight="1" spans="1:4">
      <c r="A524" s="27"/>
      <c r="B524" s="28"/>
      <c r="C524" s="28"/>
      <c r="D524" s="28"/>
    </row>
    <row r="525" customHeight="1" spans="1:4">
      <c r="A525" s="27"/>
      <c r="B525" s="28"/>
      <c r="C525" s="28"/>
      <c r="D525" s="28"/>
    </row>
    <row r="526" customHeight="1" spans="1:4">
      <c r="A526" s="27"/>
      <c r="B526" s="28"/>
      <c r="C526" s="28"/>
      <c r="D526" s="28"/>
    </row>
    <row r="527" customHeight="1" spans="1:4">
      <c r="A527" s="27"/>
      <c r="B527" s="28"/>
      <c r="C527" s="28"/>
      <c r="D527" s="28"/>
    </row>
    <row r="528" customHeight="1" spans="1:4">
      <c r="A528" s="27"/>
      <c r="B528" s="28"/>
      <c r="C528" s="28"/>
      <c r="D528" s="28"/>
    </row>
    <row r="529" customHeight="1" spans="1:4">
      <c r="A529" s="27"/>
      <c r="B529" s="28"/>
      <c r="C529" s="28"/>
      <c r="D529" s="28"/>
    </row>
    <row r="530" customHeight="1" spans="1:4">
      <c r="A530" s="27"/>
      <c r="B530" s="28"/>
      <c r="C530" s="28"/>
      <c r="D530" s="28"/>
    </row>
    <row r="531" customHeight="1" spans="1:4">
      <c r="A531" s="27"/>
      <c r="B531" s="28"/>
      <c r="C531" s="28"/>
      <c r="D531" s="28"/>
    </row>
    <row r="532" customHeight="1" spans="1:4">
      <c r="A532" s="27"/>
      <c r="B532" s="28"/>
      <c r="C532" s="28"/>
      <c r="D532" s="28"/>
    </row>
    <row r="533" customHeight="1" spans="1:4">
      <c r="A533" s="27"/>
      <c r="B533" s="28"/>
      <c r="C533" s="28"/>
      <c r="D533" s="28"/>
    </row>
    <row r="534" customHeight="1" spans="1:4">
      <c r="A534" s="27"/>
      <c r="B534" s="28"/>
      <c r="C534" s="28"/>
      <c r="D534" s="28"/>
    </row>
    <row r="535" customHeight="1" spans="1:4">
      <c r="A535" s="27"/>
      <c r="B535" s="28"/>
      <c r="C535" s="28"/>
      <c r="D535" s="28"/>
    </row>
    <row r="536" customHeight="1" spans="1:4">
      <c r="A536" s="27"/>
      <c r="B536" s="28"/>
      <c r="C536" s="28"/>
      <c r="D536" s="28"/>
    </row>
    <row r="537" customHeight="1" spans="1:4">
      <c r="A537" s="27"/>
      <c r="B537" s="28"/>
      <c r="C537" s="28"/>
      <c r="D537" s="28"/>
    </row>
    <row r="538" customHeight="1" spans="1:4">
      <c r="A538" s="27"/>
      <c r="B538" s="28"/>
      <c r="C538" s="28"/>
      <c r="D538" s="28"/>
    </row>
    <row r="539" customHeight="1" spans="1:4">
      <c r="A539" s="27"/>
      <c r="B539" s="28"/>
      <c r="C539" s="28"/>
      <c r="D539" s="28"/>
    </row>
    <row r="540" customHeight="1" spans="1:4">
      <c r="A540" s="27"/>
      <c r="B540" s="28"/>
      <c r="C540" s="28"/>
      <c r="D540" s="28"/>
    </row>
    <row r="541" customHeight="1" spans="1:4">
      <c r="A541" s="27"/>
      <c r="B541" s="28"/>
      <c r="C541" s="28"/>
      <c r="D541" s="28"/>
    </row>
    <row r="542" customHeight="1" spans="1:4">
      <c r="A542" s="27"/>
      <c r="B542" s="28"/>
      <c r="C542" s="28"/>
      <c r="D542" s="28"/>
    </row>
    <row r="543" customHeight="1" spans="1:4">
      <c r="A543" s="27"/>
      <c r="B543" s="28"/>
      <c r="C543" s="28"/>
      <c r="D543" s="28"/>
    </row>
    <row r="544" customHeight="1" spans="1:4">
      <c r="A544" s="27"/>
      <c r="B544" s="28"/>
      <c r="C544" s="28"/>
      <c r="D544" s="28"/>
    </row>
    <row r="545" customHeight="1" spans="1:4">
      <c r="A545" s="27"/>
      <c r="B545" s="28"/>
      <c r="C545" s="28"/>
      <c r="D545" s="28"/>
    </row>
    <row r="546" customHeight="1" spans="1:4">
      <c r="A546" s="27"/>
      <c r="B546" s="28"/>
      <c r="C546" s="28"/>
      <c r="D546" s="28"/>
    </row>
    <row r="547" customHeight="1" spans="1:4">
      <c r="A547" s="27"/>
      <c r="B547" s="28"/>
      <c r="C547" s="28"/>
      <c r="D547" s="28"/>
    </row>
    <row r="548" customHeight="1" spans="1:4">
      <c r="A548" s="27"/>
      <c r="B548" s="28"/>
      <c r="C548" s="28"/>
      <c r="D548" s="28"/>
    </row>
    <row r="549" customHeight="1" spans="1:4">
      <c r="A549" s="27"/>
      <c r="B549" s="28"/>
      <c r="C549" s="28"/>
      <c r="D549" s="28"/>
    </row>
    <row r="550" customHeight="1" spans="1:4">
      <c r="A550" s="27"/>
      <c r="B550" s="28"/>
      <c r="C550" s="28"/>
      <c r="D550" s="28"/>
    </row>
    <row r="551" customHeight="1" spans="1:4">
      <c r="A551" s="27"/>
      <c r="B551" s="28"/>
      <c r="C551" s="28"/>
      <c r="D551" s="28"/>
    </row>
    <row r="552" customHeight="1" spans="1:4">
      <c r="A552" s="27"/>
      <c r="B552" s="28"/>
      <c r="C552" s="28"/>
      <c r="D552" s="28"/>
    </row>
    <row r="553" customHeight="1" spans="1:4">
      <c r="A553" s="27"/>
      <c r="B553" s="28"/>
      <c r="C553" s="28"/>
      <c r="D553" s="28"/>
    </row>
    <row r="554" customHeight="1" spans="1:4">
      <c r="A554" s="27"/>
      <c r="B554" s="28"/>
      <c r="C554" s="28"/>
      <c r="D554" s="28"/>
    </row>
    <row r="555" customHeight="1" spans="1:4">
      <c r="A555" s="27"/>
      <c r="B555" s="28"/>
      <c r="C555" s="28"/>
      <c r="D555" s="28"/>
    </row>
    <row r="556" customHeight="1" spans="1:4">
      <c r="A556" s="27"/>
      <c r="B556" s="28"/>
      <c r="C556" s="28"/>
      <c r="D556" s="28"/>
    </row>
    <row r="557" customHeight="1" spans="1:4">
      <c r="A557" s="27"/>
      <c r="B557" s="28"/>
      <c r="C557" s="28"/>
      <c r="D557" s="28"/>
    </row>
    <row r="558" customHeight="1" spans="1:4">
      <c r="A558" s="27"/>
      <c r="B558" s="28"/>
      <c r="C558" s="28"/>
      <c r="D558" s="28"/>
    </row>
    <row r="559" customHeight="1" spans="1:4">
      <c r="A559" s="27"/>
      <c r="B559" s="28"/>
      <c r="C559" s="28"/>
      <c r="D559" s="28"/>
    </row>
    <row r="560" customHeight="1" spans="1:4">
      <c r="A560" s="27"/>
      <c r="B560" s="28"/>
      <c r="C560" s="28"/>
      <c r="D560" s="28"/>
    </row>
    <row r="561" customHeight="1" spans="1:4">
      <c r="A561" s="27"/>
      <c r="B561" s="28"/>
      <c r="C561" s="28"/>
      <c r="D561" s="28"/>
    </row>
    <row r="562" customHeight="1" spans="1:4">
      <c r="A562" s="27"/>
      <c r="B562" s="28"/>
      <c r="C562" s="28"/>
      <c r="D562" s="28"/>
    </row>
    <row r="563" customHeight="1" spans="1:4">
      <c r="A563" s="27"/>
      <c r="B563" s="28"/>
      <c r="C563" s="28"/>
      <c r="D563" s="28"/>
    </row>
    <row r="564" customHeight="1" spans="1:4">
      <c r="A564" s="27"/>
      <c r="B564" s="28"/>
      <c r="C564" s="28"/>
      <c r="D564" s="28"/>
    </row>
    <row r="565" customHeight="1" spans="1:4">
      <c r="A565" s="27"/>
      <c r="B565" s="28"/>
      <c r="C565" s="28"/>
      <c r="D565" s="28"/>
    </row>
    <row r="566" customHeight="1" spans="1:4">
      <c r="A566" s="27"/>
      <c r="B566" s="28"/>
      <c r="C566" s="28"/>
      <c r="D566" s="28"/>
    </row>
    <row r="567" customHeight="1" spans="1:4">
      <c r="A567" s="27"/>
      <c r="B567" s="28"/>
      <c r="C567" s="28"/>
      <c r="D567" s="28"/>
    </row>
    <row r="568" customHeight="1" spans="1:4">
      <c r="A568" s="27"/>
      <c r="B568" s="28"/>
      <c r="C568" s="28"/>
      <c r="D568" s="28"/>
    </row>
    <row r="569" customHeight="1" spans="1:4">
      <c r="A569" s="27"/>
      <c r="B569" s="28"/>
      <c r="C569" s="28"/>
      <c r="D569" s="28"/>
    </row>
    <row r="570" customHeight="1" spans="1:4">
      <c r="A570" s="27"/>
      <c r="B570" s="28"/>
      <c r="C570" s="28"/>
      <c r="D570" s="28"/>
    </row>
    <row r="571" customHeight="1" spans="1:4">
      <c r="A571" s="27"/>
      <c r="B571" s="28"/>
      <c r="C571" s="28"/>
      <c r="D571" s="28"/>
    </row>
    <row r="572" customHeight="1" spans="1:4">
      <c r="A572" s="27"/>
      <c r="B572" s="28"/>
      <c r="C572" s="28"/>
      <c r="D572" s="28"/>
    </row>
    <row r="573" customHeight="1" spans="1:4">
      <c r="A573" s="27"/>
      <c r="B573" s="28"/>
      <c r="C573" s="28"/>
      <c r="D573" s="28"/>
    </row>
    <row r="574" customHeight="1" spans="1:4">
      <c r="A574" s="27"/>
      <c r="B574" s="28"/>
      <c r="C574" s="28"/>
      <c r="D574" s="28"/>
    </row>
    <row r="575" customHeight="1" spans="1:4">
      <c r="A575" s="27"/>
      <c r="B575" s="28"/>
      <c r="C575" s="28"/>
      <c r="D575" s="28"/>
    </row>
    <row r="576" customHeight="1" spans="1:4">
      <c r="A576" s="27"/>
      <c r="B576" s="28"/>
      <c r="C576" s="28"/>
      <c r="D576" s="28"/>
    </row>
    <row r="577" customHeight="1" spans="1:4">
      <c r="A577" s="27"/>
      <c r="B577" s="28"/>
      <c r="C577" s="28"/>
      <c r="D577" s="28"/>
    </row>
    <row r="578" customHeight="1" spans="1:4">
      <c r="A578" s="27"/>
      <c r="B578" s="28"/>
      <c r="C578" s="28"/>
      <c r="D578" s="28"/>
    </row>
    <row r="579" customHeight="1" spans="1:4">
      <c r="A579" s="27"/>
      <c r="B579" s="28"/>
      <c r="C579" s="28"/>
      <c r="D579" s="28"/>
    </row>
    <row r="580" customHeight="1" spans="1:4">
      <c r="A580" s="27"/>
      <c r="B580" s="28"/>
      <c r="C580" s="28"/>
      <c r="D580" s="28"/>
    </row>
    <row r="581" customHeight="1" spans="1:4">
      <c r="A581" s="27"/>
      <c r="B581" s="28"/>
      <c r="C581" s="28"/>
      <c r="D581" s="28"/>
    </row>
    <row r="582" customHeight="1" spans="1:4">
      <c r="A582" s="27"/>
      <c r="B582" s="28"/>
      <c r="C582" s="28"/>
      <c r="D582" s="28"/>
    </row>
    <row r="583" customHeight="1" spans="1:4">
      <c r="A583" s="27"/>
      <c r="B583" s="28"/>
      <c r="C583" s="28"/>
      <c r="D583" s="28"/>
    </row>
    <row r="584" customHeight="1" spans="1:4">
      <c r="A584" s="27"/>
      <c r="B584" s="28"/>
      <c r="C584" s="28"/>
      <c r="D584" s="28"/>
    </row>
    <row r="585" customHeight="1" spans="1:4">
      <c r="A585" s="27"/>
      <c r="B585" s="28"/>
      <c r="C585" s="28"/>
      <c r="D585" s="28"/>
    </row>
    <row r="586" customHeight="1" spans="1:4">
      <c r="A586" s="27"/>
      <c r="B586" s="28"/>
      <c r="C586" s="28"/>
      <c r="D586" s="28"/>
    </row>
    <row r="587" customHeight="1" spans="1:4">
      <c r="A587" s="27"/>
      <c r="B587" s="28"/>
      <c r="C587" s="28"/>
      <c r="D587" s="28"/>
    </row>
    <row r="588" customHeight="1" spans="1:4">
      <c r="A588" s="27"/>
      <c r="B588" s="28"/>
      <c r="C588" s="28"/>
      <c r="D588" s="28"/>
    </row>
    <row r="589" customHeight="1" spans="1:4">
      <c r="A589" s="27"/>
      <c r="B589" s="28"/>
      <c r="C589" s="28"/>
      <c r="D589" s="28"/>
    </row>
    <row r="590" customHeight="1" spans="1:4">
      <c r="A590" s="27"/>
      <c r="B590" s="28"/>
      <c r="C590" s="28"/>
      <c r="D590" s="28"/>
    </row>
    <row r="591" customHeight="1" spans="1:4">
      <c r="A591" s="27"/>
      <c r="B591" s="28"/>
      <c r="C591" s="28"/>
      <c r="D591" s="28"/>
    </row>
    <row r="592" customHeight="1" spans="1:4">
      <c r="A592" s="27"/>
      <c r="B592" s="28"/>
      <c r="C592" s="28"/>
      <c r="D592" s="28"/>
    </row>
    <row r="593" customHeight="1" spans="1:4">
      <c r="A593" s="27"/>
      <c r="B593" s="28"/>
      <c r="C593" s="28"/>
      <c r="D593" s="28"/>
    </row>
    <row r="594" customHeight="1" spans="1:4">
      <c r="A594" s="27"/>
      <c r="B594" s="28"/>
      <c r="C594" s="28"/>
      <c r="D594" s="28"/>
    </row>
    <row r="595" customHeight="1" spans="1:4">
      <c r="A595" s="27"/>
      <c r="B595" s="28"/>
      <c r="C595" s="28"/>
      <c r="D595" s="28"/>
    </row>
    <row r="596" customHeight="1" spans="1:4">
      <c r="A596" s="27"/>
      <c r="B596" s="28"/>
      <c r="C596" s="28"/>
      <c r="D596" s="28"/>
    </row>
    <row r="597" customHeight="1" spans="1:4">
      <c r="A597" s="27"/>
      <c r="B597" s="28"/>
      <c r="C597" s="28"/>
      <c r="D597" s="28"/>
    </row>
    <row r="598" customHeight="1" spans="1:4">
      <c r="A598" s="27"/>
      <c r="B598" s="28"/>
      <c r="C598" s="28"/>
      <c r="D598" s="28"/>
    </row>
    <row r="599" customHeight="1" spans="1:4">
      <c r="A599" s="27"/>
      <c r="B599" s="28"/>
      <c r="C599" s="28"/>
      <c r="D599" s="28"/>
    </row>
    <row r="600" customHeight="1" spans="1:4">
      <c r="A600" s="27"/>
      <c r="B600" s="28"/>
      <c r="C600" s="28"/>
      <c r="D600" s="28"/>
    </row>
    <row r="601" customHeight="1" spans="1:4">
      <c r="A601" s="27"/>
      <c r="B601" s="28"/>
      <c r="C601" s="28"/>
      <c r="D601" s="28"/>
    </row>
    <row r="602" customHeight="1" spans="1:4">
      <c r="A602" s="27"/>
      <c r="B602" s="28"/>
      <c r="C602" s="28"/>
      <c r="D602" s="28"/>
    </row>
    <row r="603" customHeight="1" spans="1:4">
      <c r="A603" s="27"/>
      <c r="B603" s="28"/>
      <c r="C603" s="28"/>
      <c r="D603" s="28"/>
    </row>
    <row r="604" customHeight="1" spans="1:4">
      <c r="A604" s="27"/>
      <c r="B604" s="28"/>
      <c r="C604" s="28"/>
      <c r="D604" s="28"/>
    </row>
    <row r="605" customHeight="1" spans="1:4">
      <c r="A605" s="27"/>
      <c r="B605" s="28"/>
      <c r="C605" s="28"/>
      <c r="D605" s="28"/>
    </row>
    <row r="606" customHeight="1" spans="1:4">
      <c r="A606" s="27"/>
      <c r="B606" s="28"/>
      <c r="C606" s="28"/>
      <c r="D606" s="28"/>
    </row>
    <row r="607" customHeight="1" spans="1:4">
      <c r="A607" s="27"/>
      <c r="B607" s="28"/>
      <c r="C607" s="28"/>
      <c r="D607" s="28"/>
    </row>
    <row r="608" customHeight="1" spans="1:4">
      <c r="A608" s="27"/>
      <c r="B608" s="28"/>
      <c r="C608" s="28"/>
      <c r="D608" s="28"/>
    </row>
    <row r="609" customHeight="1" spans="1:4">
      <c r="A609" s="27"/>
      <c r="B609" s="28"/>
      <c r="C609" s="28"/>
      <c r="D609" s="28"/>
    </row>
    <row r="610" customHeight="1" spans="1:4">
      <c r="A610" s="27"/>
      <c r="B610" s="28"/>
      <c r="C610" s="28"/>
      <c r="D610" s="28"/>
    </row>
    <row r="611" customHeight="1" spans="1:4">
      <c r="A611" s="27"/>
      <c r="B611" s="28"/>
      <c r="C611" s="28"/>
      <c r="D611" s="28"/>
    </row>
    <row r="612" customHeight="1" spans="1:4">
      <c r="A612" s="27"/>
      <c r="B612" s="28"/>
      <c r="C612" s="28"/>
      <c r="D612" s="28"/>
    </row>
    <row r="613" customHeight="1" spans="1:4">
      <c r="A613" s="27"/>
      <c r="B613" s="28"/>
      <c r="C613" s="28"/>
      <c r="D613" s="28"/>
    </row>
    <row r="614" customHeight="1" spans="1:4">
      <c r="A614" s="27"/>
      <c r="B614" s="28"/>
      <c r="C614" s="28"/>
      <c r="D614" s="28"/>
    </row>
    <row r="615" customHeight="1" spans="1:4">
      <c r="A615" s="27"/>
      <c r="B615" s="28"/>
      <c r="C615" s="28"/>
      <c r="D615" s="28"/>
    </row>
    <row r="616" customHeight="1" spans="1:4">
      <c r="A616" s="27"/>
      <c r="B616" s="28"/>
      <c r="C616" s="28"/>
      <c r="D616" s="28"/>
    </row>
    <row r="617" customHeight="1" spans="1:4">
      <c r="A617" s="27"/>
      <c r="B617" s="28"/>
      <c r="C617" s="28"/>
      <c r="D617" s="28"/>
    </row>
    <row r="618" customHeight="1" spans="1:4">
      <c r="A618" s="27"/>
      <c r="B618" s="28"/>
      <c r="C618" s="28"/>
      <c r="D618" s="28"/>
    </row>
    <row r="619" customHeight="1" spans="1:4">
      <c r="A619" s="27"/>
      <c r="B619" s="28"/>
      <c r="C619" s="28"/>
      <c r="D619" s="28"/>
    </row>
    <row r="620" customHeight="1" spans="1:4">
      <c r="A620" s="27"/>
      <c r="B620" s="28"/>
      <c r="C620" s="28"/>
      <c r="D620" s="28"/>
    </row>
    <row r="621" customHeight="1" spans="1:4">
      <c r="A621" s="27"/>
      <c r="B621" s="28"/>
      <c r="C621" s="28"/>
      <c r="D621" s="28"/>
    </row>
    <row r="622" customHeight="1" spans="1:4">
      <c r="A622" s="27"/>
      <c r="B622" s="28"/>
      <c r="C622" s="28"/>
      <c r="D622" s="28"/>
    </row>
    <row r="623" customHeight="1" spans="1:4">
      <c r="A623" s="27"/>
      <c r="B623" s="28"/>
      <c r="C623" s="28"/>
      <c r="D623" s="28"/>
    </row>
    <row r="624" customHeight="1" spans="1:4">
      <c r="A624" s="27"/>
      <c r="B624" s="28"/>
      <c r="C624" s="28"/>
      <c r="D624" s="28"/>
    </row>
    <row r="625" customHeight="1" spans="1:4">
      <c r="A625" s="27"/>
      <c r="B625" s="28"/>
      <c r="C625" s="28"/>
      <c r="D625" s="28"/>
    </row>
    <row r="626" customHeight="1" spans="1:4">
      <c r="A626" s="27"/>
      <c r="B626" s="28"/>
      <c r="C626" s="28"/>
      <c r="D626" s="28"/>
    </row>
    <row r="627" customHeight="1" spans="1:4">
      <c r="A627" s="27"/>
      <c r="B627" s="28"/>
      <c r="C627" s="28"/>
      <c r="D627" s="28"/>
    </row>
    <row r="628" customHeight="1" spans="1:4">
      <c r="A628" s="27"/>
      <c r="B628" s="28"/>
      <c r="C628" s="28"/>
      <c r="D628" s="28"/>
    </row>
    <row r="629" customHeight="1" spans="1:4">
      <c r="A629" s="27"/>
      <c r="B629" s="28"/>
      <c r="C629" s="28"/>
      <c r="D629" s="28"/>
    </row>
    <row r="630" customHeight="1" spans="1:4">
      <c r="A630" s="27"/>
      <c r="B630" s="28"/>
      <c r="C630" s="28"/>
      <c r="D630" s="28"/>
    </row>
    <row r="631" customHeight="1" spans="1:4">
      <c r="A631" s="27"/>
      <c r="B631" s="28"/>
      <c r="C631" s="28"/>
      <c r="D631" s="28"/>
    </row>
    <row r="632" customHeight="1" spans="1:4">
      <c r="A632" s="27"/>
      <c r="B632" s="28"/>
      <c r="C632" s="28"/>
      <c r="D632" s="28"/>
    </row>
    <row r="633" customHeight="1" spans="1:4">
      <c r="A633" s="27"/>
      <c r="B633" s="28"/>
      <c r="C633" s="28"/>
      <c r="D633" s="28"/>
    </row>
    <row r="634" customHeight="1" spans="1:4">
      <c r="A634" s="27"/>
      <c r="B634" s="28"/>
      <c r="C634" s="28"/>
      <c r="D634" s="28"/>
    </row>
    <row r="635" customHeight="1" spans="1:4">
      <c r="A635" s="27"/>
      <c r="B635" s="28"/>
      <c r="C635" s="28"/>
      <c r="D635" s="28"/>
    </row>
    <row r="636" customHeight="1" spans="1:4">
      <c r="A636" s="27"/>
      <c r="B636" s="28"/>
      <c r="C636" s="28"/>
      <c r="D636" s="28"/>
    </row>
    <row r="637" customHeight="1" spans="1:4">
      <c r="A637" s="27"/>
      <c r="B637" s="28"/>
      <c r="C637" s="28"/>
      <c r="D637" s="28"/>
    </row>
    <row r="638" customHeight="1" spans="1:4">
      <c r="A638" s="27"/>
      <c r="B638" s="28"/>
      <c r="C638" s="28"/>
      <c r="D638" s="28"/>
    </row>
    <row r="639" customHeight="1" spans="1:4">
      <c r="A639" s="27"/>
      <c r="B639" s="28"/>
      <c r="C639" s="28"/>
      <c r="D639" s="28"/>
    </row>
    <row r="640" customHeight="1" spans="1:4">
      <c r="A640" s="27"/>
      <c r="B640" s="28"/>
      <c r="C640" s="28"/>
      <c r="D640" s="28"/>
    </row>
    <row r="641" customHeight="1" spans="1:4">
      <c r="A641" s="27"/>
      <c r="B641" s="28"/>
      <c r="C641" s="28"/>
      <c r="D641" s="28"/>
    </row>
    <row r="642" customHeight="1" spans="1:4">
      <c r="A642" s="27"/>
      <c r="B642" s="28"/>
      <c r="C642" s="28"/>
      <c r="D642" s="28"/>
    </row>
    <row r="643" customHeight="1" spans="1:4">
      <c r="A643" s="27"/>
      <c r="B643" s="28"/>
      <c r="C643" s="28"/>
      <c r="D643" s="28"/>
    </row>
    <row r="644" customHeight="1" spans="1:4">
      <c r="A644" s="27"/>
      <c r="B644" s="28"/>
      <c r="C644" s="28"/>
      <c r="D644" s="28"/>
    </row>
    <row r="645" customHeight="1" spans="1:4">
      <c r="A645" s="27"/>
      <c r="B645" s="28"/>
      <c r="C645" s="28"/>
      <c r="D645" s="28"/>
    </row>
    <row r="646" customHeight="1" spans="1:4">
      <c r="A646" s="27"/>
      <c r="B646" s="28"/>
      <c r="C646" s="28"/>
      <c r="D646" s="28"/>
    </row>
    <row r="647" customHeight="1" spans="1:4">
      <c r="A647" s="27"/>
      <c r="B647" s="28"/>
      <c r="C647" s="28"/>
      <c r="D647" s="28"/>
    </row>
    <row r="648" customHeight="1" spans="1:4">
      <c r="A648" s="27"/>
      <c r="B648" s="28"/>
      <c r="C648" s="28"/>
      <c r="D648" s="28"/>
    </row>
    <row r="649" customHeight="1" spans="1:4">
      <c r="A649" s="27"/>
      <c r="B649" s="28"/>
      <c r="C649" s="28"/>
      <c r="D649" s="28"/>
    </row>
    <row r="650" customHeight="1" spans="1:4">
      <c r="A650" s="27"/>
      <c r="B650" s="28"/>
      <c r="C650" s="28"/>
      <c r="D650" s="28"/>
    </row>
    <row r="651" customHeight="1" spans="1:4">
      <c r="A651" s="27"/>
      <c r="B651" s="28"/>
      <c r="C651" s="28"/>
      <c r="D651" s="28"/>
    </row>
    <row r="652" customHeight="1" spans="1:4">
      <c r="A652" s="27"/>
      <c r="B652" s="28"/>
      <c r="C652" s="28"/>
      <c r="D652" s="28"/>
    </row>
    <row r="653" customHeight="1" spans="1:4">
      <c r="A653" s="27"/>
      <c r="B653" s="28"/>
      <c r="C653" s="28"/>
      <c r="D653" s="28"/>
    </row>
    <row r="654" customHeight="1" spans="1:4">
      <c r="A654" s="27"/>
      <c r="B654" s="28"/>
      <c r="C654" s="28"/>
      <c r="D654" s="28"/>
    </row>
    <row r="655" customHeight="1" spans="1:4">
      <c r="A655" s="27"/>
      <c r="B655" s="28"/>
      <c r="C655" s="28"/>
      <c r="D655" s="28"/>
    </row>
    <row r="656" customHeight="1" spans="1:4">
      <c r="A656" s="27"/>
      <c r="B656" s="28"/>
      <c r="C656" s="28"/>
      <c r="D656" s="28"/>
    </row>
    <row r="657" customHeight="1" spans="1:4">
      <c r="A657" s="27"/>
      <c r="B657" s="28"/>
      <c r="C657" s="28"/>
      <c r="D657" s="28"/>
    </row>
    <row r="658" customHeight="1" spans="1:4">
      <c r="A658" s="27"/>
      <c r="B658" s="28"/>
      <c r="C658" s="28"/>
      <c r="D658" s="28"/>
    </row>
    <row r="659" customHeight="1" spans="1:4">
      <c r="A659" s="27"/>
      <c r="B659" s="28"/>
      <c r="C659" s="28"/>
      <c r="D659" s="28"/>
    </row>
    <row r="660" customHeight="1" spans="1:4">
      <c r="A660" s="27"/>
      <c r="B660" s="28"/>
      <c r="C660" s="28"/>
      <c r="D660" s="28"/>
    </row>
    <row r="661" customHeight="1" spans="1:4">
      <c r="A661" s="27"/>
      <c r="B661" s="28"/>
      <c r="C661" s="28"/>
      <c r="D661" s="28"/>
    </row>
    <row r="662" customHeight="1" spans="1:4">
      <c r="A662" s="27"/>
      <c r="B662" s="28"/>
      <c r="C662" s="28"/>
      <c r="D662" s="28"/>
    </row>
    <row r="663" customHeight="1" spans="1:4">
      <c r="A663" s="27"/>
      <c r="B663" s="28"/>
      <c r="C663" s="28"/>
      <c r="D663" s="28"/>
    </row>
    <row r="664" customHeight="1" spans="1:4">
      <c r="A664" s="27"/>
      <c r="B664" s="28"/>
      <c r="C664" s="28"/>
      <c r="D664" s="28"/>
    </row>
    <row r="665" customHeight="1" spans="1:4">
      <c r="A665" s="27"/>
      <c r="B665" s="28"/>
      <c r="C665" s="28"/>
      <c r="D665" s="28"/>
    </row>
    <row r="666" customHeight="1" spans="1:4">
      <c r="A666" s="27"/>
      <c r="B666" s="28"/>
      <c r="C666" s="28"/>
      <c r="D666" s="28"/>
    </row>
    <row r="667" customHeight="1" spans="1:4">
      <c r="A667" s="27"/>
      <c r="B667" s="28"/>
      <c r="C667" s="28"/>
      <c r="D667" s="28"/>
    </row>
    <row r="668" customHeight="1" spans="1:4">
      <c r="A668" s="27"/>
      <c r="B668" s="28"/>
      <c r="C668" s="28"/>
      <c r="D668" s="28"/>
    </row>
    <row r="669" customHeight="1" spans="1:4">
      <c r="A669" s="27"/>
      <c r="B669" s="28"/>
      <c r="C669" s="28"/>
      <c r="D669" s="28"/>
    </row>
    <row r="670" customHeight="1" spans="1:4">
      <c r="A670" s="27"/>
      <c r="B670" s="28"/>
      <c r="C670" s="28"/>
      <c r="D670" s="28"/>
    </row>
    <row r="671" customHeight="1" spans="1:4">
      <c r="A671" s="27"/>
      <c r="B671" s="28"/>
      <c r="C671" s="28"/>
      <c r="D671" s="28"/>
    </row>
    <row r="672" customHeight="1" spans="1:4">
      <c r="A672" s="27"/>
      <c r="B672" s="28"/>
      <c r="C672" s="28"/>
      <c r="D672" s="28"/>
    </row>
    <row r="673" customHeight="1" spans="1:4">
      <c r="A673" s="27"/>
      <c r="B673" s="28"/>
      <c r="C673" s="28"/>
      <c r="D673" s="28"/>
    </row>
    <row r="674" customHeight="1" spans="1:4">
      <c r="A674" s="27"/>
      <c r="B674" s="28"/>
      <c r="C674" s="28"/>
      <c r="D674" s="28"/>
    </row>
    <row r="675" customHeight="1" spans="1:4">
      <c r="A675" s="27"/>
      <c r="B675" s="28"/>
      <c r="C675" s="28"/>
      <c r="D675" s="28"/>
    </row>
    <row r="676" customHeight="1" spans="1:4">
      <c r="A676" s="27"/>
      <c r="B676" s="28"/>
      <c r="C676" s="28"/>
      <c r="D676" s="28"/>
    </row>
    <row r="677" customHeight="1" spans="1:4">
      <c r="A677" s="27"/>
      <c r="B677" s="28"/>
      <c r="C677" s="28"/>
      <c r="D677" s="28"/>
    </row>
    <row r="678" customHeight="1" spans="1:4">
      <c r="A678" s="27"/>
      <c r="B678" s="28"/>
      <c r="C678" s="28"/>
      <c r="D678" s="28"/>
    </row>
    <row r="679" customHeight="1" spans="1:4">
      <c r="A679" s="27"/>
      <c r="B679" s="28"/>
      <c r="C679" s="28"/>
      <c r="D679" s="28"/>
    </row>
    <row r="680" customHeight="1" spans="1:4">
      <c r="A680" s="27"/>
      <c r="B680" s="28"/>
      <c r="C680" s="28"/>
      <c r="D680" s="28"/>
    </row>
    <row r="681" customHeight="1" spans="1:4">
      <c r="A681" s="27"/>
      <c r="B681" s="28"/>
      <c r="C681" s="28"/>
      <c r="D681" s="28"/>
    </row>
    <row r="682" customHeight="1" spans="1:4">
      <c r="A682" s="27"/>
      <c r="B682" s="28"/>
      <c r="C682" s="28"/>
      <c r="D682" s="28"/>
    </row>
    <row r="683" customHeight="1" spans="1:4">
      <c r="A683" s="27"/>
      <c r="B683" s="28"/>
      <c r="C683" s="28"/>
      <c r="D683" s="28"/>
    </row>
    <row r="684" customHeight="1" spans="1:4">
      <c r="A684" s="27"/>
      <c r="B684" s="28"/>
      <c r="C684" s="28"/>
      <c r="D684" s="28"/>
    </row>
    <row r="685" customHeight="1" spans="1:4">
      <c r="A685" s="27"/>
      <c r="B685" s="28"/>
      <c r="C685" s="28"/>
      <c r="D685" s="28"/>
    </row>
    <row r="686" customHeight="1" spans="1:4">
      <c r="A686" s="27"/>
      <c r="B686" s="28"/>
      <c r="C686" s="28"/>
      <c r="D686" s="28"/>
    </row>
    <row r="687" customHeight="1" spans="1:4">
      <c r="A687" s="27"/>
      <c r="B687" s="28"/>
      <c r="C687" s="28"/>
      <c r="D687" s="28"/>
    </row>
    <row r="688" customHeight="1" spans="1:4">
      <c r="A688" s="27"/>
      <c r="B688" s="28"/>
      <c r="C688" s="28"/>
      <c r="D688" s="28"/>
    </row>
    <row r="689" customHeight="1" spans="1:4">
      <c r="A689" s="27"/>
      <c r="B689" s="28"/>
      <c r="C689" s="28"/>
      <c r="D689" s="28"/>
    </row>
    <row r="690" customHeight="1" spans="1:4">
      <c r="A690" s="27"/>
      <c r="B690" s="28"/>
      <c r="C690" s="28"/>
      <c r="D690" s="28"/>
    </row>
    <row r="691" customHeight="1" spans="1:4">
      <c r="A691" s="27"/>
      <c r="B691" s="28"/>
      <c r="C691" s="28"/>
      <c r="D691" s="28"/>
    </row>
    <row r="692" customHeight="1" spans="1:4">
      <c r="A692" s="27"/>
      <c r="B692" s="28"/>
      <c r="C692" s="28"/>
      <c r="D692" s="28"/>
    </row>
    <row r="693" customHeight="1" spans="1:4">
      <c r="A693" s="27"/>
      <c r="B693" s="28"/>
      <c r="C693" s="28"/>
      <c r="D693" s="28"/>
    </row>
    <row r="694" customHeight="1" spans="1:4">
      <c r="A694" s="27"/>
      <c r="B694" s="28"/>
      <c r="C694" s="28"/>
      <c r="D694" s="28"/>
    </row>
    <row r="695" customHeight="1" spans="1:4">
      <c r="A695" s="27"/>
      <c r="B695" s="28"/>
      <c r="C695" s="28"/>
      <c r="D695" s="28"/>
    </row>
    <row r="696" customHeight="1" spans="1:4">
      <c r="A696" s="27"/>
      <c r="B696" s="28"/>
      <c r="C696" s="28"/>
      <c r="D696" s="28"/>
    </row>
    <row r="697" customHeight="1" spans="1:4">
      <c r="A697" s="27"/>
      <c r="B697" s="28"/>
      <c r="C697" s="28"/>
      <c r="D697" s="28"/>
    </row>
    <row r="698" customHeight="1" spans="1:4">
      <c r="A698" s="27"/>
      <c r="B698" s="28"/>
      <c r="C698" s="28"/>
      <c r="D698" s="28"/>
    </row>
    <row r="699" customHeight="1" spans="1:4">
      <c r="A699" s="27"/>
      <c r="B699" s="28"/>
      <c r="C699" s="28"/>
      <c r="D699" s="28"/>
    </row>
    <row r="700" customHeight="1" spans="1:4">
      <c r="A700" s="27"/>
      <c r="B700" s="28"/>
      <c r="C700" s="28"/>
      <c r="D700" s="28"/>
    </row>
    <row r="701" customHeight="1" spans="1:4">
      <c r="A701" s="27"/>
      <c r="B701" s="28"/>
      <c r="C701" s="28"/>
      <c r="D701" s="28"/>
    </row>
    <row r="702" customHeight="1" spans="1:4">
      <c r="A702" s="27"/>
      <c r="B702" s="28"/>
      <c r="C702" s="28"/>
      <c r="D702" s="28"/>
    </row>
    <row r="703" customHeight="1" spans="1:4">
      <c r="A703" s="27"/>
      <c r="B703" s="28"/>
      <c r="C703" s="28"/>
      <c r="D703" s="28"/>
    </row>
    <row r="704" customHeight="1" spans="1:4">
      <c r="A704" s="27"/>
      <c r="B704" s="28"/>
      <c r="C704" s="28"/>
      <c r="D704" s="28"/>
    </row>
    <row r="705" customHeight="1" spans="1:4">
      <c r="A705" s="27"/>
      <c r="B705" s="28"/>
      <c r="C705" s="28"/>
      <c r="D705" s="28"/>
    </row>
    <row r="706" customHeight="1" spans="1:4">
      <c r="A706" s="27"/>
      <c r="B706" s="28"/>
      <c r="C706" s="28"/>
      <c r="D706" s="28"/>
    </row>
    <row r="707" customHeight="1" spans="1:4">
      <c r="A707" s="27"/>
      <c r="B707" s="28"/>
      <c r="C707" s="28"/>
      <c r="D707" s="28"/>
    </row>
    <row r="708" customHeight="1" spans="1:4">
      <c r="A708" s="27"/>
      <c r="B708" s="28"/>
      <c r="C708" s="28"/>
      <c r="D708" s="28"/>
    </row>
    <row r="709" customHeight="1" spans="1:4">
      <c r="A709" s="27"/>
      <c r="B709" s="28"/>
      <c r="C709" s="28"/>
      <c r="D709" s="28"/>
    </row>
    <row r="710" customHeight="1" spans="1:4">
      <c r="A710" s="27"/>
      <c r="B710" s="28"/>
      <c r="C710" s="28"/>
      <c r="D710" s="28"/>
    </row>
    <row r="711" customHeight="1" spans="1:4">
      <c r="A711" s="27"/>
      <c r="B711" s="28"/>
      <c r="C711" s="28"/>
      <c r="D711" s="28"/>
    </row>
    <row r="712" customHeight="1" spans="1:4">
      <c r="A712" s="27"/>
      <c r="B712" s="28"/>
      <c r="C712" s="28"/>
      <c r="D712" s="28"/>
    </row>
    <row r="713" customHeight="1" spans="1:4">
      <c r="A713" s="27"/>
      <c r="B713" s="28"/>
      <c r="C713" s="28"/>
      <c r="D713" s="28"/>
    </row>
    <row r="714" customHeight="1" spans="1:4">
      <c r="A714" s="27"/>
      <c r="B714" s="28"/>
      <c r="C714" s="28"/>
      <c r="D714" s="28"/>
    </row>
    <row r="715" customHeight="1" spans="1:4">
      <c r="A715" s="27"/>
      <c r="B715" s="28"/>
      <c r="C715" s="28"/>
      <c r="D715" s="28"/>
    </row>
    <row r="716" customHeight="1" spans="1:4">
      <c r="A716" s="27"/>
      <c r="B716" s="28"/>
      <c r="C716" s="28"/>
      <c r="D716" s="28"/>
    </row>
    <row r="717" customHeight="1" spans="1:4">
      <c r="A717" s="27"/>
      <c r="B717" s="28"/>
      <c r="C717" s="28"/>
      <c r="D717" s="28"/>
    </row>
    <row r="718" customHeight="1" spans="1:4">
      <c r="A718" s="27"/>
      <c r="B718" s="28"/>
      <c r="C718" s="28"/>
      <c r="D718" s="28"/>
    </row>
    <row r="719" customHeight="1" spans="1:4">
      <c r="A719" s="27"/>
      <c r="B719" s="28"/>
      <c r="C719" s="28"/>
      <c r="D719" s="28"/>
    </row>
    <row r="720" customHeight="1" spans="1:4">
      <c r="A720" s="27"/>
      <c r="B720" s="28"/>
      <c r="C720" s="28"/>
      <c r="D720" s="28"/>
    </row>
    <row r="721" customHeight="1" spans="1:4">
      <c r="A721" s="27"/>
      <c r="B721" s="28"/>
      <c r="C721" s="28"/>
      <c r="D721" s="28"/>
    </row>
    <row r="722" customHeight="1" spans="1:4">
      <c r="A722" s="27"/>
      <c r="B722" s="28"/>
      <c r="C722" s="28"/>
      <c r="D722" s="28"/>
    </row>
    <row r="723" customHeight="1" spans="1:4">
      <c r="A723" s="27"/>
      <c r="B723" s="28"/>
      <c r="C723" s="28"/>
      <c r="D723" s="28"/>
    </row>
    <row r="724" customHeight="1" spans="1:4">
      <c r="A724" s="27"/>
      <c r="B724" s="28"/>
      <c r="C724" s="28"/>
      <c r="D724" s="28"/>
    </row>
    <row r="725" customHeight="1" spans="1:4">
      <c r="A725" s="27"/>
      <c r="B725" s="28"/>
      <c r="C725" s="28"/>
      <c r="D725" s="28"/>
    </row>
    <row r="726" customHeight="1" spans="1:4">
      <c r="A726" s="27"/>
      <c r="B726" s="28"/>
      <c r="C726" s="28"/>
      <c r="D726" s="28"/>
    </row>
    <row r="727" customHeight="1" spans="1:4">
      <c r="A727" s="27"/>
      <c r="B727" s="28"/>
      <c r="C727" s="28"/>
      <c r="D727" s="28"/>
    </row>
    <row r="728" customHeight="1" spans="1:4">
      <c r="A728" s="27"/>
      <c r="B728" s="28"/>
      <c r="C728" s="28"/>
      <c r="D728" s="28"/>
    </row>
    <row r="729" customHeight="1" spans="1:4">
      <c r="A729" s="27"/>
      <c r="B729" s="28"/>
      <c r="C729" s="28"/>
      <c r="D729" s="28"/>
    </row>
    <row r="730" customHeight="1" spans="1:4">
      <c r="A730" s="27"/>
      <c r="B730" s="28"/>
      <c r="C730" s="28"/>
      <c r="D730" s="28"/>
    </row>
    <row r="731" customHeight="1" spans="1:4">
      <c r="A731" s="27"/>
      <c r="B731" s="28"/>
      <c r="C731" s="28"/>
      <c r="D731" s="28"/>
    </row>
    <row r="732" customHeight="1" spans="1:4">
      <c r="A732" s="27"/>
      <c r="B732" s="28"/>
      <c r="C732" s="28"/>
      <c r="D732" s="28"/>
    </row>
    <row r="733" customHeight="1" spans="1:4">
      <c r="A733" s="27"/>
      <c r="B733" s="28"/>
      <c r="C733" s="28"/>
      <c r="D733" s="28"/>
    </row>
    <row r="734" customHeight="1" spans="1:4">
      <c r="A734" s="27"/>
      <c r="B734" s="28"/>
      <c r="C734" s="28"/>
      <c r="D734" s="28"/>
    </row>
    <row r="735" customHeight="1" spans="1:4">
      <c r="A735" s="27"/>
      <c r="B735" s="28"/>
      <c r="C735" s="28"/>
      <c r="D735" s="28"/>
    </row>
    <row r="736" customHeight="1" spans="1:4">
      <c r="A736" s="27"/>
      <c r="B736" s="28"/>
      <c r="C736" s="28"/>
      <c r="D736" s="28"/>
    </row>
    <row r="737" customHeight="1" spans="1:4">
      <c r="A737" s="27"/>
      <c r="B737" s="28"/>
      <c r="C737" s="28"/>
      <c r="D737" s="28"/>
    </row>
    <row r="738" customHeight="1" spans="1:4">
      <c r="A738" s="27"/>
      <c r="B738" s="28"/>
      <c r="C738" s="28"/>
      <c r="D738" s="28"/>
    </row>
    <row r="739" customHeight="1" spans="1:4">
      <c r="A739" s="27"/>
      <c r="B739" s="28"/>
      <c r="C739" s="28"/>
      <c r="D739" s="28"/>
    </row>
    <row r="740" customHeight="1" spans="1:4">
      <c r="A740" s="27"/>
      <c r="B740" s="28"/>
      <c r="C740" s="28"/>
      <c r="D740" s="28"/>
    </row>
    <row r="741" customHeight="1" spans="1:4">
      <c r="A741" s="27"/>
      <c r="B741" s="28"/>
      <c r="C741" s="28"/>
      <c r="D741" s="28"/>
    </row>
    <row r="742" customHeight="1" spans="1:4">
      <c r="A742" s="27"/>
      <c r="B742" s="28"/>
      <c r="C742" s="28"/>
      <c r="D742" s="28"/>
    </row>
    <row r="743" customHeight="1" spans="1:4">
      <c r="A743" s="27"/>
      <c r="B743" s="28"/>
      <c r="C743" s="28"/>
      <c r="D743" s="28"/>
    </row>
    <row r="744" customHeight="1" spans="1:4">
      <c r="A744" s="27"/>
      <c r="B744" s="28"/>
      <c r="C744" s="28"/>
      <c r="D744" s="28"/>
    </row>
    <row r="745" customHeight="1" spans="1:4">
      <c r="A745" s="27"/>
      <c r="B745" s="28"/>
      <c r="C745" s="28"/>
      <c r="D745" s="28"/>
    </row>
    <row r="746" customHeight="1" spans="1:4">
      <c r="A746" s="27"/>
      <c r="B746" s="28"/>
      <c r="C746" s="28"/>
      <c r="D746" s="28"/>
    </row>
    <row r="747" customHeight="1" spans="1:4">
      <c r="A747" s="27"/>
      <c r="B747" s="28"/>
      <c r="C747" s="28"/>
      <c r="D747" s="28"/>
    </row>
    <row r="748" customHeight="1" spans="1:4">
      <c r="A748" s="27"/>
      <c r="B748" s="28"/>
      <c r="C748" s="28"/>
      <c r="D748" s="28"/>
    </row>
    <row r="749" customHeight="1" spans="1:4">
      <c r="A749" s="27"/>
      <c r="B749" s="28"/>
      <c r="C749" s="28"/>
      <c r="D749" s="28"/>
    </row>
    <row r="750" customHeight="1" spans="1:4">
      <c r="A750" s="27"/>
      <c r="B750" s="28"/>
      <c r="C750" s="28"/>
      <c r="D750" s="28"/>
    </row>
    <row r="751" customHeight="1" spans="1:4">
      <c r="A751" s="27"/>
      <c r="B751" s="28"/>
      <c r="C751" s="28"/>
      <c r="D751" s="28"/>
    </row>
    <row r="752" customHeight="1" spans="1:4">
      <c r="A752" s="27"/>
      <c r="B752" s="28"/>
      <c r="C752" s="28"/>
      <c r="D752" s="28"/>
    </row>
    <row r="753" customHeight="1" spans="1:4">
      <c r="A753" s="27"/>
      <c r="B753" s="28"/>
      <c r="C753" s="28"/>
      <c r="D753" s="28"/>
    </row>
    <row r="754" customHeight="1" spans="1:4">
      <c r="A754" s="27"/>
      <c r="B754" s="28"/>
      <c r="C754" s="28"/>
      <c r="D754" s="28"/>
    </row>
    <row r="755" customHeight="1" spans="1:4">
      <c r="A755" s="27"/>
      <c r="B755" s="28"/>
      <c r="C755" s="28"/>
      <c r="D755" s="28"/>
    </row>
    <row r="756" customHeight="1" spans="1:4">
      <c r="A756" s="27"/>
      <c r="B756" s="28"/>
      <c r="C756" s="28"/>
      <c r="D756" s="28"/>
    </row>
    <row r="757" customHeight="1" spans="1:4">
      <c r="A757" s="27"/>
      <c r="B757" s="28"/>
      <c r="C757" s="28"/>
      <c r="D757" s="28"/>
    </row>
    <row r="758" customHeight="1" spans="1:4">
      <c r="A758" s="27"/>
      <c r="B758" s="28"/>
      <c r="C758" s="28"/>
      <c r="D758" s="28"/>
    </row>
    <row r="759" customHeight="1" spans="1:4">
      <c r="A759" s="27"/>
      <c r="B759" s="28"/>
      <c r="C759" s="28"/>
      <c r="D759" s="28"/>
    </row>
    <row r="760" customHeight="1" spans="1:4">
      <c r="A760" s="27"/>
      <c r="B760" s="28"/>
      <c r="C760" s="28"/>
      <c r="D760" s="28"/>
    </row>
    <row r="761" customHeight="1" spans="1:4">
      <c r="A761" s="27"/>
      <c r="B761" s="28"/>
      <c r="C761" s="28"/>
      <c r="D761" s="28"/>
    </row>
    <row r="762" customHeight="1" spans="1:4">
      <c r="A762" s="27"/>
      <c r="B762" s="28"/>
      <c r="C762" s="28"/>
      <c r="D762" s="28"/>
    </row>
    <row r="763" customHeight="1" spans="1:4">
      <c r="A763" s="27"/>
      <c r="B763" s="28"/>
      <c r="C763" s="28"/>
      <c r="D763" s="28"/>
    </row>
    <row r="764" customHeight="1" spans="1:4">
      <c r="A764" s="27"/>
      <c r="B764" s="28"/>
      <c r="C764" s="28"/>
      <c r="D764" s="28"/>
    </row>
    <row r="765" customHeight="1" spans="1:4">
      <c r="A765" s="27"/>
      <c r="B765" s="28"/>
      <c r="C765" s="28"/>
      <c r="D765" s="28"/>
    </row>
    <row r="766" customHeight="1" spans="1:4">
      <c r="A766" s="27"/>
      <c r="B766" s="28"/>
      <c r="C766" s="28"/>
      <c r="D766" s="28"/>
    </row>
    <row r="767" customHeight="1" spans="1:4">
      <c r="A767" s="27"/>
      <c r="B767" s="28"/>
      <c r="C767" s="28"/>
      <c r="D767" s="28"/>
    </row>
    <row r="768" customHeight="1" spans="1:4">
      <c r="A768" s="27"/>
      <c r="B768" s="28"/>
      <c r="C768" s="28"/>
      <c r="D768" s="28"/>
    </row>
    <row r="769" customHeight="1" spans="1:4">
      <c r="A769" s="27"/>
      <c r="B769" s="28"/>
      <c r="C769" s="28"/>
      <c r="D769" s="28"/>
    </row>
    <row r="770" customHeight="1" spans="1:4">
      <c r="A770" s="27"/>
      <c r="B770" s="28"/>
      <c r="C770" s="28"/>
      <c r="D770" s="28"/>
    </row>
    <row r="771" customHeight="1" spans="1:4">
      <c r="A771" s="27"/>
      <c r="B771" s="28"/>
      <c r="C771" s="28"/>
      <c r="D771" s="28"/>
    </row>
    <row r="772" customHeight="1" spans="1:4">
      <c r="A772" s="27"/>
      <c r="B772" s="28"/>
      <c r="C772" s="28"/>
      <c r="D772" s="28"/>
    </row>
    <row r="773" customHeight="1" spans="1:4">
      <c r="A773" s="27"/>
      <c r="B773" s="28"/>
      <c r="C773" s="28"/>
      <c r="D773" s="28"/>
    </row>
    <row r="774" customHeight="1" spans="1:4">
      <c r="A774" s="27"/>
      <c r="B774" s="28"/>
      <c r="C774" s="28"/>
      <c r="D774" s="28"/>
    </row>
    <row r="775" customHeight="1" spans="1:4">
      <c r="A775" s="27"/>
      <c r="B775" s="28"/>
      <c r="C775" s="28"/>
      <c r="D775" s="28"/>
    </row>
    <row r="776" customHeight="1" spans="1:4">
      <c r="A776" s="27"/>
      <c r="B776" s="28"/>
      <c r="C776" s="28"/>
      <c r="D776" s="28"/>
    </row>
    <row r="777" customHeight="1" spans="1:4">
      <c r="A777" s="27"/>
      <c r="B777" s="28"/>
      <c r="C777" s="28"/>
      <c r="D777" s="28"/>
    </row>
    <row r="778" customHeight="1" spans="1:4">
      <c r="A778" s="27"/>
      <c r="B778" s="28"/>
      <c r="C778" s="28"/>
      <c r="D778" s="28"/>
    </row>
    <row r="779" customHeight="1" spans="1:4">
      <c r="A779" s="27"/>
      <c r="B779" s="28"/>
      <c r="C779" s="28"/>
      <c r="D779" s="28"/>
    </row>
    <row r="780" customHeight="1" spans="1:4">
      <c r="A780" s="27"/>
      <c r="B780" s="28"/>
      <c r="C780" s="28"/>
      <c r="D780" s="28"/>
    </row>
    <row r="781" customHeight="1" spans="1:4">
      <c r="A781" s="27"/>
      <c r="B781" s="28"/>
      <c r="C781" s="28"/>
      <c r="D781" s="28"/>
    </row>
    <row r="782" customHeight="1" spans="1:4">
      <c r="A782" s="27"/>
      <c r="B782" s="28"/>
      <c r="C782" s="28"/>
      <c r="D782" s="28"/>
    </row>
    <row r="783" customHeight="1" spans="1:4">
      <c r="A783" s="27"/>
      <c r="B783" s="28"/>
      <c r="C783" s="28"/>
      <c r="D783" s="28"/>
    </row>
    <row r="784" customHeight="1" spans="1:4">
      <c r="A784" s="27"/>
      <c r="B784" s="28"/>
      <c r="C784" s="28"/>
      <c r="D784" s="28"/>
    </row>
    <row r="785" customHeight="1" spans="1:4">
      <c r="A785" s="27"/>
      <c r="B785" s="28"/>
      <c r="C785" s="28"/>
      <c r="D785" s="28"/>
    </row>
    <row r="786" customHeight="1" spans="1:4">
      <c r="A786" s="27"/>
      <c r="B786" s="28"/>
      <c r="C786" s="28"/>
      <c r="D786" s="28"/>
    </row>
    <row r="787" customHeight="1" spans="1:4">
      <c r="A787" s="27"/>
      <c r="B787" s="28"/>
      <c r="C787" s="28"/>
      <c r="D787" s="28"/>
    </row>
    <row r="788" customHeight="1" spans="1:4">
      <c r="A788" s="27"/>
      <c r="B788" s="28"/>
      <c r="C788" s="28"/>
      <c r="D788" s="28"/>
    </row>
    <row r="789" customHeight="1" spans="1:4">
      <c r="A789" s="27"/>
      <c r="B789" s="28"/>
      <c r="C789" s="28"/>
      <c r="D789" s="28"/>
    </row>
    <row r="790" customHeight="1" spans="1:4">
      <c r="A790" s="27"/>
      <c r="B790" s="28"/>
      <c r="C790" s="28"/>
      <c r="D790" s="28"/>
    </row>
    <row r="791" customHeight="1" spans="1:4">
      <c r="A791" s="27"/>
      <c r="B791" s="28"/>
      <c r="C791" s="28"/>
      <c r="D791" s="28"/>
    </row>
    <row r="792" customHeight="1" spans="1:4">
      <c r="A792" s="27"/>
      <c r="B792" s="28"/>
      <c r="C792" s="28"/>
      <c r="D792" s="28"/>
    </row>
    <row r="793" customHeight="1" spans="1:4">
      <c r="A793" s="27"/>
      <c r="B793" s="28"/>
      <c r="C793" s="28"/>
      <c r="D793" s="28"/>
    </row>
    <row r="794" customHeight="1" spans="1:4">
      <c r="A794" s="27"/>
      <c r="B794" s="28"/>
      <c r="C794" s="28"/>
      <c r="D794" s="28"/>
    </row>
    <row r="795" customHeight="1" spans="1:4">
      <c r="A795" s="27"/>
      <c r="B795" s="28"/>
      <c r="C795" s="28"/>
      <c r="D795" s="28"/>
    </row>
    <row r="796" customHeight="1" spans="1:4">
      <c r="A796" s="27"/>
      <c r="B796" s="28"/>
      <c r="C796" s="28"/>
      <c r="D796" s="28"/>
    </row>
    <row r="797" customHeight="1" spans="1:4">
      <c r="A797" s="27"/>
      <c r="B797" s="28"/>
      <c r="C797" s="28"/>
      <c r="D797" s="28"/>
    </row>
    <row r="798" customHeight="1" spans="1:4">
      <c r="A798" s="27"/>
      <c r="B798" s="28"/>
      <c r="C798" s="28"/>
      <c r="D798" s="28"/>
    </row>
    <row r="799" customHeight="1" spans="1:4">
      <c r="A799" s="27"/>
      <c r="B799" s="28"/>
      <c r="C799" s="28"/>
      <c r="D799" s="28"/>
    </row>
    <row r="800" customHeight="1" spans="1:4">
      <c r="A800" s="27"/>
      <c r="B800" s="28"/>
      <c r="C800" s="28"/>
      <c r="D800" s="28"/>
    </row>
    <row r="801" customHeight="1" spans="1:4">
      <c r="A801" s="27"/>
      <c r="B801" s="28"/>
      <c r="C801" s="28"/>
      <c r="D801" s="28"/>
    </row>
    <row r="802" customHeight="1" spans="1:4">
      <c r="A802" s="27"/>
      <c r="B802" s="28"/>
      <c r="C802" s="28"/>
      <c r="D802" s="28"/>
    </row>
    <row r="803" customHeight="1" spans="1:4">
      <c r="A803" s="27"/>
      <c r="B803" s="28"/>
      <c r="C803" s="28"/>
      <c r="D803" s="28"/>
    </row>
    <row r="804" customHeight="1" spans="1:4">
      <c r="A804" s="27"/>
      <c r="B804" s="28"/>
      <c r="C804" s="28"/>
      <c r="D804" s="28"/>
    </row>
    <row r="805" customHeight="1" spans="1:4">
      <c r="A805" s="27"/>
      <c r="B805" s="28"/>
      <c r="C805" s="28"/>
      <c r="D805" s="28"/>
    </row>
    <row r="806" customHeight="1" spans="1:4">
      <c r="A806" s="27"/>
      <c r="B806" s="28"/>
      <c r="C806" s="28"/>
      <c r="D806" s="28"/>
    </row>
    <row r="807" customHeight="1" spans="1:4">
      <c r="A807" s="27"/>
      <c r="B807" s="28"/>
      <c r="C807" s="28"/>
      <c r="D807" s="28"/>
    </row>
    <row r="808" customHeight="1" spans="1:4">
      <c r="A808" s="27"/>
      <c r="B808" s="28"/>
      <c r="C808" s="28"/>
      <c r="D808" s="28"/>
    </row>
    <row r="809" customHeight="1" spans="1:4">
      <c r="A809" s="27"/>
      <c r="B809" s="28"/>
      <c r="C809" s="28"/>
      <c r="D809" s="28"/>
    </row>
    <row r="810" customHeight="1" spans="1:4">
      <c r="A810" s="27"/>
      <c r="B810" s="28"/>
      <c r="C810" s="28"/>
      <c r="D810" s="28"/>
    </row>
    <row r="811" customHeight="1" spans="1:4">
      <c r="A811" s="27"/>
      <c r="B811" s="28"/>
      <c r="C811" s="28"/>
      <c r="D811" s="28"/>
    </row>
    <row r="812" customHeight="1" spans="1:4">
      <c r="A812" s="27"/>
      <c r="B812" s="28"/>
      <c r="C812" s="28"/>
      <c r="D812" s="28"/>
    </row>
    <row r="813" customHeight="1" spans="1:4">
      <c r="A813" s="27"/>
      <c r="B813" s="28"/>
      <c r="C813" s="28"/>
      <c r="D813" s="28"/>
    </row>
    <row r="814" customHeight="1" spans="1:4">
      <c r="A814" s="27"/>
      <c r="B814" s="28"/>
      <c r="C814" s="28"/>
      <c r="D814" s="28"/>
    </row>
    <row r="815" customHeight="1" spans="1:4">
      <c r="A815" s="27"/>
      <c r="B815" s="28"/>
      <c r="C815" s="28"/>
      <c r="D815" s="28"/>
    </row>
    <row r="816" customHeight="1" spans="1:4">
      <c r="A816" s="27"/>
      <c r="B816" s="28"/>
      <c r="C816" s="28"/>
      <c r="D816" s="28"/>
    </row>
    <row r="817" customHeight="1" spans="1:4">
      <c r="A817" s="27"/>
      <c r="B817" s="28"/>
      <c r="C817" s="28"/>
      <c r="D817" s="28"/>
    </row>
    <row r="818" customHeight="1" spans="1:4">
      <c r="A818" s="27"/>
      <c r="B818" s="28"/>
      <c r="C818" s="28"/>
      <c r="D818" s="28"/>
    </row>
    <row r="819" customHeight="1" spans="1:4">
      <c r="A819" s="27"/>
      <c r="B819" s="28"/>
      <c r="C819" s="28"/>
      <c r="D819" s="28"/>
    </row>
    <row r="820" customHeight="1" spans="1:4">
      <c r="A820" s="27"/>
      <c r="B820" s="28"/>
      <c r="C820" s="28"/>
      <c r="D820" s="28"/>
    </row>
    <row r="821" customHeight="1" spans="1:4">
      <c r="A821" s="27"/>
      <c r="B821" s="28"/>
      <c r="C821" s="28"/>
      <c r="D821" s="28"/>
    </row>
    <row r="822" customHeight="1" spans="1:4">
      <c r="A822" s="27"/>
      <c r="B822" s="28"/>
      <c r="C822" s="28"/>
      <c r="D822" s="28"/>
    </row>
    <row r="823" customHeight="1" spans="1:4">
      <c r="A823" s="27"/>
      <c r="B823" s="28"/>
      <c r="C823" s="28"/>
      <c r="D823" s="28"/>
    </row>
    <row r="824" customHeight="1" spans="1:4">
      <c r="A824" s="27"/>
      <c r="B824" s="28"/>
      <c r="C824" s="28"/>
      <c r="D824" s="28"/>
    </row>
    <row r="825" customHeight="1" spans="1:4">
      <c r="A825" s="27"/>
      <c r="B825" s="28"/>
      <c r="C825" s="28"/>
      <c r="D825" s="28"/>
    </row>
    <row r="826" customHeight="1" spans="1:4">
      <c r="A826" s="27"/>
      <c r="B826" s="28"/>
      <c r="C826" s="28"/>
      <c r="D826" s="28"/>
    </row>
    <row r="827" customHeight="1" spans="1:4">
      <c r="A827" s="27"/>
      <c r="B827" s="28"/>
      <c r="C827" s="28"/>
      <c r="D827" s="28"/>
    </row>
    <row r="828" customHeight="1" spans="1:4">
      <c r="A828" s="27"/>
      <c r="B828" s="28"/>
      <c r="C828" s="28"/>
      <c r="D828" s="28"/>
    </row>
    <row r="829" customHeight="1" spans="1:4">
      <c r="A829" s="27"/>
      <c r="B829" s="28"/>
      <c r="C829" s="28"/>
      <c r="D829" s="28"/>
    </row>
    <row r="830" customHeight="1" spans="1:4">
      <c r="A830" s="27"/>
      <c r="B830" s="28"/>
      <c r="C830" s="28"/>
      <c r="D830" s="28"/>
    </row>
    <row r="831" customHeight="1" spans="1:4">
      <c r="A831" s="27"/>
      <c r="B831" s="28"/>
      <c r="C831" s="28"/>
      <c r="D831" s="28"/>
    </row>
    <row r="832" customHeight="1" spans="1:4">
      <c r="A832" s="27"/>
      <c r="B832" s="28"/>
      <c r="C832" s="28"/>
      <c r="D832" s="28"/>
    </row>
    <row r="833" customHeight="1" spans="1:4">
      <c r="A833" s="27"/>
      <c r="B833" s="28"/>
      <c r="C833" s="28"/>
      <c r="D833" s="28"/>
    </row>
    <row r="834" customHeight="1" spans="1:4">
      <c r="A834" s="27"/>
      <c r="B834" s="28"/>
      <c r="C834" s="28"/>
      <c r="D834" s="28"/>
    </row>
    <row r="835" customHeight="1" spans="1:4">
      <c r="A835" s="27"/>
      <c r="B835" s="28"/>
      <c r="C835" s="28"/>
      <c r="D835" s="28"/>
    </row>
    <row r="836" customHeight="1" spans="1:4">
      <c r="A836" s="27"/>
      <c r="B836" s="28"/>
      <c r="C836" s="28"/>
      <c r="D836" s="28"/>
    </row>
    <row r="837" customHeight="1" spans="1:4">
      <c r="A837" s="27"/>
      <c r="B837" s="28"/>
      <c r="C837" s="28"/>
      <c r="D837" s="28"/>
    </row>
    <row r="838" customHeight="1" spans="1:4">
      <c r="A838" s="27"/>
      <c r="B838" s="28"/>
      <c r="C838" s="28"/>
      <c r="D838" s="28"/>
    </row>
    <row r="839" customHeight="1" spans="1:4">
      <c r="A839" s="27"/>
      <c r="B839" s="28"/>
      <c r="C839" s="28"/>
      <c r="D839" s="28"/>
    </row>
    <row r="840" customHeight="1" spans="1:4">
      <c r="A840" s="27"/>
      <c r="B840" s="28"/>
      <c r="C840" s="28"/>
      <c r="D840" s="28"/>
    </row>
    <row r="841" customHeight="1" spans="1:4">
      <c r="A841" s="27"/>
      <c r="B841" s="28"/>
      <c r="C841" s="28"/>
      <c r="D841" s="28"/>
    </row>
    <row r="842" customHeight="1" spans="1:4">
      <c r="A842" s="27"/>
      <c r="B842" s="28"/>
      <c r="C842" s="28"/>
      <c r="D842" s="28"/>
    </row>
    <row r="843" customHeight="1" spans="1:4">
      <c r="A843" s="27"/>
      <c r="B843" s="28"/>
      <c r="C843" s="28"/>
      <c r="D843" s="28"/>
    </row>
    <row r="844" customHeight="1" spans="1:4">
      <c r="A844" s="27"/>
      <c r="B844" s="28"/>
      <c r="C844" s="28"/>
      <c r="D844" s="28"/>
    </row>
    <row r="845" customHeight="1" spans="1:4">
      <c r="A845" s="27"/>
      <c r="B845" s="28"/>
      <c r="C845" s="28"/>
      <c r="D845" s="28"/>
    </row>
    <row r="846" customHeight="1" spans="1:4">
      <c r="A846" s="27"/>
      <c r="B846" s="28"/>
      <c r="C846" s="28"/>
      <c r="D846" s="28"/>
    </row>
    <row r="847" customHeight="1" spans="1:4">
      <c r="A847" s="27"/>
      <c r="B847" s="28"/>
      <c r="C847" s="28"/>
      <c r="D847" s="28"/>
    </row>
    <row r="848" customHeight="1" spans="1:4">
      <c r="A848" s="27"/>
      <c r="B848" s="28"/>
      <c r="C848" s="28"/>
      <c r="D848" s="28"/>
    </row>
    <row r="849" customHeight="1" spans="1:4">
      <c r="A849" s="27"/>
      <c r="B849" s="28"/>
      <c r="C849" s="28"/>
      <c r="D849" s="28"/>
    </row>
    <row r="850" customHeight="1" spans="1:4">
      <c r="A850" s="27"/>
      <c r="B850" s="28"/>
      <c r="C850" s="28"/>
      <c r="D850" s="28"/>
    </row>
    <row r="851" customHeight="1" spans="1:4">
      <c r="A851" s="27"/>
      <c r="B851" s="28"/>
      <c r="C851" s="28"/>
      <c r="D851" s="28"/>
    </row>
    <row r="852" customHeight="1" spans="1:4">
      <c r="A852" s="27"/>
      <c r="B852" s="28"/>
      <c r="C852" s="28"/>
      <c r="D852" s="28"/>
    </row>
    <row r="853" customHeight="1" spans="1:4">
      <c r="A853" s="27"/>
      <c r="B853" s="28"/>
      <c r="C853" s="28"/>
      <c r="D853" s="28"/>
    </row>
    <row r="854" customHeight="1" spans="1:4">
      <c r="A854" s="27"/>
      <c r="B854" s="28"/>
      <c r="C854" s="28"/>
      <c r="D854" s="28"/>
    </row>
    <row r="855" customHeight="1" spans="1:4">
      <c r="A855" s="27"/>
      <c r="B855" s="28"/>
      <c r="C855" s="28"/>
      <c r="D855" s="28"/>
    </row>
    <row r="856" customHeight="1" spans="1:4">
      <c r="A856" s="27"/>
      <c r="B856" s="28"/>
      <c r="C856" s="28"/>
      <c r="D856" s="28"/>
    </row>
    <row r="857" customHeight="1" spans="1:4">
      <c r="A857" s="27"/>
      <c r="B857" s="28"/>
      <c r="C857" s="28"/>
      <c r="D857" s="28"/>
    </row>
    <row r="858" customHeight="1" spans="1:4">
      <c r="A858" s="27"/>
      <c r="B858" s="28"/>
      <c r="C858" s="28"/>
      <c r="D858" s="28"/>
    </row>
    <row r="859" customHeight="1" spans="1:4">
      <c r="A859" s="27"/>
      <c r="B859" s="28"/>
      <c r="C859" s="28"/>
      <c r="D859" s="28"/>
    </row>
    <row r="860" customHeight="1" spans="1:4">
      <c r="A860" s="27"/>
      <c r="B860" s="28"/>
      <c r="C860" s="28"/>
      <c r="D860" s="28"/>
    </row>
    <row r="861" customHeight="1" spans="1:4">
      <c r="A861" s="27"/>
      <c r="B861" s="28"/>
      <c r="C861" s="28"/>
      <c r="D861" s="28"/>
    </row>
    <row r="862" customHeight="1" spans="1:4">
      <c r="A862" s="27"/>
      <c r="B862" s="28"/>
      <c r="C862" s="28"/>
      <c r="D862" s="28"/>
    </row>
    <row r="863" customHeight="1" spans="1:4">
      <c r="A863" s="27"/>
      <c r="B863" s="28"/>
      <c r="C863" s="28"/>
      <c r="D863" s="28"/>
    </row>
    <row r="864" customHeight="1" spans="1:4">
      <c r="A864" s="27"/>
      <c r="B864" s="28"/>
      <c r="C864" s="28"/>
      <c r="D864" s="28"/>
    </row>
    <row r="865" customHeight="1" spans="1:4">
      <c r="A865" s="27"/>
      <c r="B865" s="28"/>
      <c r="C865" s="28"/>
      <c r="D865" s="28"/>
    </row>
    <row r="866" customHeight="1" spans="1:4">
      <c r="A866" s="27"/>
      <c r="B866" s="28"/>
      <c r="C866" s="28"/>
      <c r="D866" s="28"/>
    </row>
    <row r="867" customHeight="1" spans="1:4">
      <c r="A867" s="27"/>
      <c r="B867" s="28"/>
      <c r="C867" s="28"/>
      <c r="D867" s="28"/>
    </row>
    <row r="868" customHeight="1" spans="1:4">
      <c r="A868" s="27"/>
      <c r="B868" s="28"/>
      <c r="C868" s="28"/>
      <c r="D868" s="28"/>
    </row>
    <row r="869" customHeight="1" spans="1:4">
      <c r="A869" s="27"/>
      <c r="B869" s="28"/>
      <c r="C869" s="28"/>
      <c r="D869" s="28"/>
    </row>
    <row r="870" customHeight="1" spans="1:4">
      <c r="A870" s="27"/>
      <c r="B870" s="28"/>
      <c r="C870" s="28"/>
      <c r="D870" s="28"/>
    </row>
    <row r="871" customHeight="1" spans="1:4">
      <c r="A871" s="27"/>
      <c r="B871" s="28"/>
      <c r="C871" s="28"/>
      <c r="D871" s="28"/>
    </row>
    <row r="872" customHeight="1" spans="1:4">
      <c r="A872" s="27"/>
      <c r="B872" s="28"/>
      <c r="C872" s="28"/>
      <c r="D872" s="28"/>
    </row>
    <row r="873" customHeight="1" spans="1:4">
      <c r="A873" s="27"/>
      <c r="B873" s="28"/>
      <c r="C873" s="28"/>
      <c r="D873" s="28"/>
    </row>
    <row r="874" customHeight="1" spans="1:4">
      <c r="A874" s="27"/>
      <c r="B874" s="28"/>
      <c r="C874" s="28"/>
      <c r="D874" s="28"/>
    </row>
    <row r="875" customHeight="1" spans="1:4">
      <c r="A875" s="27"/>
      <c r="B875" s="28"/>
      <c r="C875" s="28"/>
      <c r="D875" s="28"/>
    </row>
    <row r="876" customHeight="1" spans="1:4">
      <c r="A876" s="27"/>
      <c r="B876" s="28"/>
      <c r="C876" s="28"/>
      <c r="D876" s="28"/>
    </row>
    <row r="877" customHeight="1" spans="1:4">
      <c r="A877" s="27"/>
      <c r="B877" s="28"/>
      <c r="C877" s="28"/>
      <c r="D877" s="28"/>
    </row>
    <row r="878" customHeight="1" spans="1:4">
      <c r="A878" s="27"/>
      <c r="B878" s="28"/>
      <c r="C878" s="28"/>
      <c r="D878" s="28"/>
    </row>
    <row r="879" customHeight="1" spans="1:4">
      <c r="A879" s="27"/>
      <c r="B879" s="28"/>
      <c r="C879" s="28"/>
      <c r="D879" s="28"/>
    </row>
    <row r="880" customHeight="1" spans="1:4">
      <c r="A880" s="27"/>
      <c r="B880" s="28"/>
      <c r="C880" s="28"/>
      <c r="D880" s="28"/>
    </row>
    <row r="881" customHeight="1" spans="1:4">
      <c r="A881" s="27"/>
      <c r="B881" s="28"/>
      <c r="C881" s="28"/>
      <c r="D881" s="28"/>
    </row>
    <row r="882" customHeight="1" spans="1:4">
      <c r="A882" s="27"/>
      <c r="B882" s="28"/>
      <c r="C882" s="28"/>
      <c r="D882" s="28"/>
    </row>
    <row r="883" customHeight="1" spans="1:4">
      <c r="A883" s="27"/>
      <c r="B883" s="28"/>
      <c r="C883" s="28"/>
      <c r="D883" s="28"/>
    </row>
    <row r="884" customHeight="1" spans="1:4">
      <c r="A884" s="27"/>
      <c r="B884" s="28"/>
      <c r="C884" s="28"/>
      <c r="D884" s="28"/>
    </row>
    <row r="885" customHeight="1" spans="1:4">
      <c r="A885" s="27"/>
      <c r="B885" s="28"/>
      <c r="C885" s="28"/>
      <c r="D885" s="28"/>
    </row>
    <row r="886" customHeight="1" spans="1:4">
      <c r="A886" s="27"/>
      <c r="B886" s="28"/>
      <c r="C886" s="28"/>
      <c r="D886" s="28"/>
    </row>
    <row r="887" customHeight="1" spans="1:4">
      <c r="A887" s="27"/>
      <c r="B887" s="28"/>
      <c r="C887" s="28"/>
      <c r="D887" s="28"/>
    </row>
    <row r="888" customHeight="1" spans="1:4">
      <c r="A888" s="27"/>
      <c r="B888" s="28"/>
      <c r="C888" s="28"/>
      <c r="D888" s="28"/>
    </row>
    <row r="889" customHeight="1" spans="1:4">
      <c r="A889" s="27"/>
      <c r="B889" s="28"/>
      <c r="C889" s="28"/>
      <c r="D889" s="28"/>
    </row>
    <row r="890" customHeight="1" spans="1:4">
      <c r="A890" s="27"/>
      <c r="B890" s="28"/>
      <c r="C890" s="28"/>
      <c r="D890" s="28"/>
    </row>
    <row r="891" customHeight="1" spans="1:4">
      <c r="A891" s="27"/>
      <c r="B891" s="28"/>
      <c r="C891" s="28"/>
      <c r="D891" s="28"/>
    </row>
    <row r="892" customHeight="1" spans="1:4">
      <c r="A892" s="27"/>
      <c r="B892" s="28"/>
      <c r="C892" s="28"/>
      <c r="D892" s="28"/>
    </row>
    <row r="893" customHeight="1" spans="1:4">
      <c r="A893" s="27"/>
      <c r="B893" s="28"/>
      <c r="C893" s="28"/>
      <c r="D893" s="28"/>
    </row>
    <row r="894" customHeight="1" spans="1:4">
      <c r="A894" s="27"/>
      <c r="B894" s="28"/>
      <c r="C894" s="28"/>
      <c r="D894" s="28"/>
    </row>
    <row r="895" customHeight="1" spans="1:4">
      <c r="A895" s="27"/>
      <c r="B895" s="28"/>
      <c r="C895" s="28"/>
      <c r="D895" s="28"/>
    </row>
    <row r="896" customHeight="1" spans="1:4">
      <c r="A896" s="27"/>
      <c r="B896" s="28"/>
      <c r="C896" s="28"/>
      <c r="D896" s="28"/>
    </row>
    <row r="897" customHeight="1" spans="1:4">
      <c r="A897" s="27"/>
      <c r="B897" s="28"/>
      <c r="C897" s="28"/>
      <c r="D897" s="28"/>
    </row>
    <row r="898" customHeight="1" spans="1:4">
      <c r="A898" s="27"/>
      <c r="B898" s="28"/>
      <c r="C898" s="28"/>
      <c r="D898" s="28"/>
    </row>
    <row r="899" customHeight="1" spans="1:4">
      <c r="A899" s="27"/>
      <c r="B899" s="28"/>
      <c r="C899" s="28"/>
      <c r="D899" s="28"/>
    </row>
    <row r="900" customHeight="1" spans="1:4">
      <c r="A900" s="27"/>
      <c r="B900" s="28"/>
      <c r="C900" s="28"/>
      <c r="D900" s="28"/>
    </row>
    <row r="901" customHeight="1" spans="1:4">
      <c r="A901" s="27"/>
      <c r="B901" s="28"/>
      <c r="C901" s="28"/>
      <c r="D901" s="28"/>
    </row>
    <row r="902" customHeight="1" spans="1:4">
      <c r="A902" s="27"/>
      <c r="B902" s="28"/>
      <c r="C902" s="28"/>
      <c r="D902" s="28"/>
    </row>
    <row r="903" customHeight="1" spans="1:4">
      <c r="A903" s="27"/>
      <c r="B903" s="28"/>
      <c r="C903" s="28"/>
      <c r="D903" s="28"/>
    </row>
    <row r="904" customHeight="1" spans="1:4">
      <c r="A904" s="27"/>
      <c r="B904" s="28"/>
      <c r="C904" s="28"/>
      <c r="D904" s="28"/>
    </row>
    <row r="905" customHeight="1" spans="1:4">
      <c r="A905" s="27"/>
      <c r="B905" s="28"/>
      <c r="C905" s="28"/>
      <c r="D905" s="28"/>
    </row>
    <row r="906" customHeight="1" spans="1:4">
      <c r="A906" s="27"/>
      <c r="B906" s="28"/>
      <c r="C906" s="28"/>
      <c r="D906" s="28"/>
    </row>
    <row r="907" customHeight="1" spans="1:4">
      <c r="A907" s="27"/>
      <c r="B907" s="28"/>
      <c r="C907" s="28"/>
      <c r="D907" s="28"/>
    </row>
    <row r="908" customHeight="1" spans="1:4">
      <c r="A908" s="27"/>
      <c r="B908" s="28"/>
      <c r="C908" s="28"/>
      <c r="D908" s="28"/>
    </row>
    <row r="909" customHeight="1" spans="1:4">
      <c r="A909" s="27"/>
      <c r="B909" s="28"/>
      <c r="C909" s="28"/>
      <c r="D909" s="28"/>
    </row>
    <row r="910" customHeight="1" spans="1:4">
      <c r="A910" s="27"/>
      <c r="B910" s="28"/>
      <c r="C910" s="28"/>
      <c r="D910" s="28"/>
    </row>
    <row r="911" customHeight="1" spans="1:4">
      <c r="A911" s="27"/>
      <c r="B911" s="28"/>
      <c r="C911" s="28"/>
      <c r="D911" s="28"/>
    </row>
    <row r="912" customHeight="1" spans="1:4">
      <c r="A912" s="27"/>
      <c r="B912" s="28"/>
      <c r="C912" s="28"/>
      <c r="D912" s="28"/>
    </row>
    <row r="913" customHeight="1" spans="1:4">
      <c r="A913" s="27"/>
      <c r="B913" s="28"/>
      <c r="C913" s="28"/>
      <c r="D913" s="28"/>
    </row>
    <row r="914" customHeight="1" spans="1:4">
      <c r="A914" s="27"/>
      <c r="B914" s="28"/>
      <c r="C914" s="28"/>
      <c r="D914" s="28"/>
    </row>
    <row r="915" customHeight="1" spans="1:4">
      <c r="A915" s="27"/>
      <c r="B915" s="28"/>
      <c r="C915" s="28"/>
      <c r="D915" s="28"/>
    </row>
    <row r="916" customHeight="1" spans="1:4">
      <c r="A916" s="27"/>
      <c r="B916" s="28"/>
      <c r="C916" s="28"/>
      <c r="D916" s="28"/>
    </row>
    <row r="917" customHeight="1" spans="1:4">
      <c r="A917" s="27"/>
      <c r="B917" s="28"/>
      <c r="C917" s="28"/>
      <c r="D917" s="28"/>
    </row>
    <row r="918" customHeight="1" spans="1:4">
      <c r="A918" s="27"/>
      <c r="B918" s="28"/>
      <c r="C918" s="28"/>
      <c r="D918" s="28"/>
    </row>
    <row r="919" customHeight="1" spans="1:4">
      <c r="A919" s="27"/>
      <c r="B919" s="28"/>
      <c r="C919" s="28"/>
      <c r="D919" s="28"/>
    </row>
    <row r="920" customHeight="1" spans="1:4">
      <c r="A920" s="27"/>
      <c r="B920" s="28"/>
      <c r="C920" s="28"/>
      <c r="D920" s="28"/>
    </row>
    <row r="921" customHeight="1" spans="1:4">
      <c r="A921" s="27"/>
      <c r="B921" s="28"/>
      <c r="C921" s="28"/>
      <c r="D921" s="28"/>
    </row>
    <row r="922" customHeight="1" spans="1:4">
      <c r="A922" s="27"/>
      <c r="B922" s="28"/>
      <c r="C922" s="28"/>
      <c r="D922" s="28"/>
    </row>
    <row r="923" customHeight="1" spans="1:4">
      <c r="A923" s="27"/>
      <c r="B923" s="28"/>
      <c r="C923" s="28"/>
      <c r="D923" s="28"/>
    </row>
    <row r="924" customHeight="1" spans="1:4">
      <c r="A924" s="27"/>
      <c r="B924" s="28"/>
      <c r="C924" s="28"/>
      <c r="D924" s="28"/>
    </row>
    <row r="925" customHeight="1" spans="1:4">
      <c r="A925" s="27"/>
      <c r="B925" s="28"/>
      <c r="C925" s="28"/>
      <c r="D925" s="28"/>
    </row>
    <row r="926" customHeight="1" spans="1:4">
      <c r="A926" s="27"/>
      <c r="B926" s="28"/>
      <c r="C926" s="28"/>
      <c r="D926" s="28"/>
    </row>
    <row r="927" customHeight="1" spans="1:4">
      <c r="A927" s="27"/>
      <c r="B927" s="28"/>
      <c r="C927" s="28"/>
      <c r="D927" s="28"/>
    </row>
    <row r="928" customHeight="1" spans="1:4">
      <c r="A928" s="27"/>
      <c r="B928" s="28"/>
      <c r="C928" s="28"/>
      <c r="D928" s="28"/>
    </row>
    <row r="929" customHeight="1" spans="1:4">
      <c r="A929" s="27"/>
      <c r="B929" s="28"/>
      <c r="C929" s="28"/>
      <c r="D929" s="28"/>
    </row>
    <row r="930" customHeight="1" spans="1:4">
      <c r="A930" s="27"/>
      <c r="B930" s="28"/>
      <c r="C930" s="28"/>
      <c r="D930" s="28"/>
    </row>
    <row r="931" customHeight="1" spans="1:4">
      <c r="A931" s="27"/>
      <c r="B931" s="28"/>
      <c r="C931" s="28"/>
      <c r="D931" s="28"/>
    </row>
    <row r="932" customHeight="1" spans="1:4">
      <c r="A932" s="27"/>
      <c r="B932" s="28"/>
      <c r="C932" s="28"/>
      <c r="D932" s="28"/>
    </row>
    <row r="933" customHeight="1" spans="1:4">
      <c r="A933" s="27"/>
      <c r="B933" s="28"/>
      <c r="C933" s="28"/>
      <c r="D933" s="28"/>
    </row>
    <row r="934" customHeight="1" spans="1:4">
      <c r="A934" s="27"/>
      <c r="B934" s="28"/>
      <c r="C934" s="28"/>
      <c r="D934" s="28"/>
    </row>
    <row r="935" customHeight="1" spans="1:4">
      <c r="A935" s="27"/>
      <c r="B935" s="28"/>
      <c r="C935" s="28"/>
      <c r="D935" s="28"/>
    </row>
    <row r="936" customHeight="1" spans="1:4">
      <c r="A936" s="27"/>
      <c r="B936" s="28"/>
      <c r="C936" s="28"/>
      <c r="D936" s="28"/>
    </row>
    <row r="937" customHeight="1" spans="1:4">
      <c r="A937" s="27"/>
      <c r="B937" s="28"/>
      <c r="C937" s="28"/>
      <c r="D937" s="28"/>
    </row>
    <row r="938" customHeight="1" spans="1:4">
      <c r="A938" s="27"/>
      <c r="B938" s="28"/>
      <c r="C938" s="28"/>
      <c r="D938" s="28"/>
    </row>
    <row r="939" customHeight="1" spans="1:4">
      <c r="A939" s="27"/>
      <c r="B939" s="28"/>
      <c r="C939" s="28"/>
      <c r="D939" s="28"/>
    </row>
    <row r="940" customHeight="1" spans="1:4">
      <c r="A940" s="27"/>
      <c r="B940" s="28"/>
      <c r="C940" s="28"/>
      <c r="D940" s="28"/>
    </row>
    <row r="941" customHeight="1" spans="1:4">
      <c r="A941" s="27"/>
      <c r="B941" s="28"/>
      <c r="C941" s="28"/>
      <c r="D941" s="28"/>
    </row>
    <row r="942" customHeight="1" spans="1:4">
      <c r="A942" s="27"/>
      <c r="B942" s="28"/>
      <c r="C942" s="28"/>
      <c r="D942" s="28"/>
    </row>
    <row r="943" customHeight="1" spans="1:4">
      <c r="A943" s="27"/>
      <c r="B943" s="28"/>
      <c r="C943" s="28"/>
      <c r="D943" s="28"/>
    </row>
    <row r="944" customHeight="1" spans="1:4">
      <c r="A944" s="27"/>
      <c r="B944" s="28"/>
      <c r="C944" s="28"/>
      <c r="D944" s="28"/>
    </row>
    <row r="945" customHeight="1" spans="1:4">
      <c r="A945" s="27"/>
      <c r="B945" s="28"/>
      <c r="C945" s="28"/>
      <c r="D945" s="28"/>
    </row>
    <row r="946" customHeight="1" spans="1:4">
      <c r="A946" s="27"/>
      <c r="B946" s="28"/>
      <c r="C946" s="28"/>
      <c r="D946" s="28"/>
    </row>
    <row r="947" customHeight="1" spans="1:4">
      <c r="A947" s="27"/>
      <c r="B947" s="28"/>
      <c r="C947" s="28"/>
      <c r="D947" s="28"/>
    </row>
    <row r="948" customHeight="1" spans="1:4">
      <c r="A948" s="27"/>
      <c r="B948" s="28"/>
      <c r="C948" s="28"/>
      <c r="D948" s="28"/>
    </row>
    <row r="949" customHeight="1" spans="1:4">
      <c r="A949" s="27"/>
      <c r="B949" s="28"/>
      <c r="C949" s="28"/>
      <c r="D949" s="28"/>
    </row>
    <row r="950" customHeight="1" spans="1:4">
      <c r="A950" s="27"/>
      <c r="B950" s="28"/>
      <c r="C950" s="28"/>
      <c r="D950" s="28"/>
    </row>
    <row r="951" customHeight="1" spans="1:4">
      <c r="A951" s="27"/>
      <c r="B951" s="28"/>
      <c r="C951" s="28"/>
      <c r="D951" s="28"/>
    </row>
    <row r="952" customHeight="1" spans="1:4">
      <c r="A952" s="27"/>
      <c r="B952" s="28"/>
      <c r="C952" s="28"/>
      <c r="D952" s="28"/>
    </row>
    <row r="953" customHeight="1" spans="1:4">
      <c r="A953" s="27"/>
      <c r="B953" s="28"/>
      <c r="C953" s="28"/>
      <c r="D953" s="28"/>
    </row>
    <row r="954" customHeight="1" spans="1:4">
      <c r="A954" s="27"/>
      <c r="B954" s="28"/>
      <c r="C954" s="28"/>
      <c r="D954" s="28"/>
    </row>
    <row r="955" customHeight="1" spans="1:4">
      <c r="A955" s="27"/>
      <c r="B955" s="28"/>
      <c r="C955" s="28"/>
      <c r="D955" s="28"/>
    </row>
    <row r="956" customHeight="1" spans="1:4">
      <c r="A956" s="27"/>
      <c r="B956" s="28"/>
      <c r="C956" s="28"/>
      <c r="D956" s="28"/>
    </row>
    <row r="957" customHeight="1" spans="1:4">
      <c r="A957" s="27"/>
      <c r="B957" s="28"/>
      <c r="C957" s="28"/>
      <c r="D957" s="28"/>
    </row>
    <row r="958" customHeight="1" spans="1:4">
      <c r="A958" s="27"/>
      <c r="B958" s="28"/>
      <c r="C958" s="28"/>
      <c r="D958" s="28"/>
    </row>
    <row r="959" customHeight="1" spans="1:4">
      <c r="A959" s="27"/>
      <c r="B959" s="28"/>
      <c r="C959" s="28"/>
      <c r="D959" s="28"/>
    </row>
    <row r="960" customHeight="1" spans="1:4">
      <c r="A960" s="27"/>
      <c r="B960" s="28"/>
      <c r="C960" s="28"/>
      <c r="D960" s="28"/>
    </row>
    <row r="961" customHeight="1" spans="1:4">
      <c r="A961" s="27"/>
      <c r="B961" s="28"/>
      <c r="C961" s="28"/>
      <c r="D961" s="28"/>
    </row>
    <row r="962" customHeight="1" spans="1:4">
      <c r="A962" s="27"/>
      <c r="B962" s="28"/>
      <c r="C962" s="28"/>
      <c r="D962" s="28"/>
    </row>
    <row r="963" customHeight="1" spans="1:4">
      <c r="A963" s="27"/>
      <c r="B963" s="28"/>
      <c r="C963" s="28"/>
      <c r="D963" s="28"/>
    </row>
    <row r="964" customHeight="1" spans="1:4">
      <c r="A964" s="27"/>
      <c r="B964" s="28"/>
      <c r="C964" s="28"/>
      <c r="D964" s="28"/>
    </row>
    <row r="965" customHeight="1" spans="1:4">
      <c r="A965" s="27"/>
      <c r="B965" s="28"/>
      <c r="C965" s="28"/>
      <c r="D965" s="28"/>
    </row>
    <row r="966" customHeight="1" spans="1:4">
      <c r="A966" s="27"/>
      <c r="B966" s="28"/>
      <c r="C966" s="28"/>
      <c r="D966" s="28"/>
    </row>
    <row r="967" customHeight="1" spans="1:4">
      <c r="A967" s="27"/>
      <c r="B967" s="28"/>
      <c r="C967" s="28"/>
      <c r="D967" s="28"/>
    </row>
    <row r="968" customHeight="1" spans="1:4">
      <c r="A968" s="27"/>
      <c r="B968" s="28"/>
      <c r="C968" s="28"/>
      <c r="D968" s="28"/>
    </row>
    <row r="969" customHeight="1" spans="1:4">
      <c r="A969" s="27"/>
      <c r="B969" s="28"/>
      <c r="C969" s="28"/>
      <c r="D969" s="28"/>
    </row>
    <row r="970" customHeight="1" spans="1:4">
      <c r="A970" s="27"/>
      <c r="B970" s="28"/>
      <c r="C970" s="28"/>
      <c r="D970" s="28"/>
    </row>
    <row r="971" customHeight="1" spans="1:4">
      <c r="A971" s="27"/>
      <c r="B971" s="28"/>
      <c r="C971" s="28"/>
      <c r="D971" s="28"/>
    </row>
    <row r="972" customHeight="1" spans="1:4">
      <c r="A972" s="27"/>
      <c r="B972" s="28"/>
      <c r="C972" s="28"/>
      <c r="D972" s="28"/>
    </row>
    <row r="973" customHeight="1" spans="1:4">
      <c r="A973" s="27"/>
      <c r="B973" s="28"/>
      <c r="C973" s="28"/>
      <c r="D973" s="28"/>
    </row>
    <row r="974" customHeight="1" spans="1:4">
      <c r="A974" s="27"/>
      <c r="B974" s="28"/>
      <c r="C974" s="28"/>
      <c r="D974" s="28"/>
    </row>
    <row r="975" customHeight="1" spans="1:4">
      <c r="A975" s="27"/>
      <c r="B975" s="28"/>
      <c r="C975" s="28"/>
      <c r="D975" s="28"/>
    </row>
    <row r="976" customHeight="1" spans="1:4">
      <c r="A976" s="27"/>
      <c r="B976" s="28"/>
      <c r="C976" s="28"/>
      <c r="D976" s="28"/>
    </row>
    <row r="977" customHeight="1" spans="1:4">
      <c r="A977" s="27"/>
      <c r="B977" s="28"/>
      <c r="C977" s="28"/>
      <c r="D977" s="28"/>
    </row>
    <row r="978" customHeight="1" spans="1:4">
      <c r="A978" s="27"/>
      <c r="B978" s="28"/>
      <c r="C978" s="28"/>
      <c r="D978" s="28"/>
    </row>
    <row r="979" customHeight="1" spans="1:4">
      <c r="A979" s="27"/>
      <c r="B979" s="28"/>
      <c r="C979" s="28"/>
      <c r="D979" s="28"/>
    </row>
    <row r="980" customHeight="1" spans="1:4">
      <c r="A980" s="27"/>
      <c r="B980" s="28"/>
      <c r="C980" s="28"/>
      <c r="D980" s="28"/>
    </row>
    <row r="981" customHeight="1" spans="1:4">
      <c r="A981" s="27"/>
      <c r="B981" s="28"/>
      <c r="C981" s="28"/>
      <c r="D981" s="28"/>
    </row>
    <row r="982" customHeight="1" spans="1:4">
      <c r="A982" s="27"/>
      <c r="B982" s="28"/>
      <c r="C982" s="28"/>
      <c r="D982" s="28"/>
    </row>
    <row r="983" customHeight="1" spans="1:4">
      <c r="A983" s="27"/>
      <c r="B983" s="28"/>
      <c r="C983" s="28"/>
      <c r="D983" s="28"/>
    </row>
    <row r="984" customHeight="1" spans="1:4">
      <c r="A984" s="27"/>
      <c r="B984" s="28"/>
      <c r="C984" s="28"/>
      <c r="D984" s="28"/>
    </row>
    <row r="985" customHeight="1" spans="1:4">
      <c r="A985" s="27"/>
      <c r="B985" s="28"/>
      <c r="C985" s="28"/>
      <c r="D985" s="28"/>
    </row>
    <row r="986" customHeight="1" spans="1:4">
      <c r="A986" s="27"/>
      <c r="B986" s="28"/>
      <c r="C986" s="28"/>
      <c r="D986" s="28"/>
    </row>
    <row r="987" customHeight="1" spans="1:4">
      <c r="A987" s="27"/>
      <c r="B987" s="28"/>
      <c r="C987" s="28"/>
      <c r="D987" s="28"/>
    </row>
    <row r="988" customHeight="1" spans="1:4">
      <c r="A988" s="27"/>
      <c r="B988" s="28"/>
      <c r="C988" s="28"/>
      <c r="D988" s="28"/>
    </row>
    <row r="989" customHeight="1" spans="1:4">
      <c r="A989" s="27"/>
      <c r="B989" s="28"/>
      <c r="C989" s="28"/>
      <c r="D989" s="28"/>
    </row>
    <row r="990" customHeight="1" spans="1:4">
      <c r="A990" s="27"/>
      <c r="B990" s="28"/>
      <c r="C990" s="28"/>
      <c r="D990" s="28"/>
    </row>
    <row r="991" customHeight="1" spans="1:4">
      <c r="A991" s="27"/>
      <c r="B991" s="28"/>
      <c r="C991" s="28"/>
      <c r="D991" s="28"/>
    </row>
    <row r="992" customHeight="1" spans="1:4">
      <c r="A992" s="27"/>
      <c r="B992" s="28"/>
      <c r="C992" s="28"/>
      <c r="D992" s="28"/>
    </row>
    <row r="993" customHeight="1" spans="1:4">
      <c r="A993" s="27"/>
      <c r="B993" s="28"/>
      <c r="C993" s="28"/>
      <c r="D993" s="28"/>
    </row>
    <row r="994" customHeight="1" spans="1:4">
      <c r="A994" s="27"/>
      <c r="B994" s="28"/>
      <c r="C994" s="28"/>
      <c r="D994" s="28"/>
    </row>
    <row r="995" customHeight="1" spans="1:4">
      <c r="A995" s="27"/>
      <c r="B995" s="28"/>
      <c r="C995" s="28"/>
      <c r="D995" s="28"/>
    </row>
    <row r="996" customHeight="1" spans="1:4">
      <c r="A996" s="27"/>
      <c r="B996" s="28"/>
      <c r="C996" s="28"/>
      <c r="D996" s="28"/>
    </row>
    <row r="997" customHeight="1" spans="1:4">
      <c r="A997" s="27"/>
      <c r="B997" s="28"/>
      <c r="C997" s="28"/>
      <c r="D997" s="28"/>
    </row>
    <row r="998" customHeight="1" spans="1:4">
      <c r="A998" s="27"/>
      <c r="B998" s="28"/>
      <c r="C998" s="28"/>
      <c r="D998" s="28"/>
    </row>
    <row r="999" customHeight="1" spans="1:4">
      <c r="A999" s="27"/>
      <c r="B999" s="28"/>
      <c r="C999" s="28"/>
      <c r="D999" s="28"/>
    </row>
    <row r="1000" customHeight="1" spans="1:4">
      <c r="A1000" s="27"/>
      <c r="B1000" s="28"/>
      <c r="C1000" s="28"/>
      <c r="D1000" s="28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9"/>
  <sheetViews>
    <sheetView workbookViewId="0">
      <selection activeCell="A2" sqref="A2:C40"/>
    </sheetView>
  </sheetViews>
  <sheetFormatPr defaultColWidth="12.6640625" defaultRowHeight="15.75" customHeight="1" outlineLevelCol="2"/>
  <cols>
    <col min="1" max="1" width="29.8359375" customWidth="1"/>
    <col min="2" max="2" width="5.6640625" customWidth="1"/>
    <col min="3" max="3" width="6" customWidth="1"/>
    <col min="4" max="4" width="4.8359375" customWidth="1"/>
  </cols>
  <sheetData>
    <row r="1" customHeight="1" spans="1:3">
      <c r="A1" s="24" t="str">
        <f>IFERROR(__xludf.DUMMYFUNCTION("IMPORTRANGE(""https://docs.google.com/spreadsheets/d/1eaVzK6FcHCiSWH6vlneKycaHdBQH67V1d-FjgY0Xsl4/edit?gid=1464880161#gid=1464880161"",""Refur Samsung!A:c"")"),"Model")</f>
        <v>Model</v>
      </c>
      <c r="B1" s="25" t="str">
        <f>IFERROR(__xludf.DUMMYFUNCTION("""COMPUTED_VALUE"""),"Grade")</f>
        <v>Grade</v>
      </c>
      <c r="C1" s="25" t="str">
        <f>IFERROR(__xludf.DUMMYFUNCTION("""COMPUTED_VALUE"""),"Price")</f>
        <v>Price</v>
      </c>
    </row>
    <row r="2" customHeight="1" spans="1:3">
      <c r="A2" s="26" t="str">
        <f>IFERROR(__xludf.DUMMYFUNCTION("""COMPUTED_VALUE"""),"Samsung Galaxy S22 Ultra 5G 8+256")</f>
        <v>Samsung Galaxy S22 Ultra 5G 8+256</v>
      </c>
      <c r="B2" s="25" t="str">
        <f>IFERROR(__xludf.DUMMYFUNCTION("""COMPUTED_VALUE"""),"A+")</f>
        <v>A+</v>
      </c>
      <c r="C2" s="25">
        <f>IFERROR(__xludf.DUMMYFUNCTION("""COMPUTED_VALUE"""),331.252641120309)</f>
        <v>331.252641120309</v>
      </c>
    </row>
    <row r="3" customHeight="1" spans="1:3">
      <c r="A3" s="26" t="str">
        <f>IFERROR(__xludf.DUMMYFUNCTION("""COMPUTED_VALUE"""),"Samsung Galaxy S24 8+128")</f>
        <v>Samsung Galaxy S24 8+128</v>
      </c>
      <c r="B3" s="25" t="str">
        <f>IFERROR(__xludf.DUMMYFUNCTION("""COMPUTED_VALUE"""),"A+")</f>
        <v>A+</v>
      </c>
      <c r="C3" s="25">
        <f>IFERROR(__xludf.DUMMYFUNCTION("""COMPUTED_VALUE"""),369.514178362326)</f>
        <v>369.514178362326</v>
      </c>
    </row>
    <row r="4" customHeight="1" spans="1:3">
      <c r="A4" s="26" t="str">
        <f>IFERROR(__xludf.DUMMYFUNCTION("""COMPUTED_VALUE"""),"Samsung Galaxy S24+ 12+256")</f>
        <v>Samsung Galaxy S24+ 12+256</v>
      </c>
      <c r="B4" s="25" t="str">
        <f>IFERROR(__xludf.DUMMYFUNCTION("""COMPUTED_VALUE"""),"A+")</f>
        <v>A+</v>
      </c>
      <c r="C4" s="25">
        <f>IFERROR(__xludf.DUMMYFUNCTION("""COMPUTED_VALUE"""),453.118263988365)</f>
        <v>453.118263988365</v>
      </c>
    </row>
    <row r="5" customHeight="1" spans="1:3">
      <c r="A5" s="26" t="str">
        <f>IFERROR(__xludf.DUMMYFUNCTION("""COMPUTED_VALUE"""),"Samsung Galaxy S24 Ultra 12+256")</f>
        <v>Samsung Galaxy S24 Ultra 12+256</v>
      </c>
      <c r="B5" s="25" t="str">
        <f>IFERROR(__xludf.DUMMYFUNCTION("""COMPUTED_VALUE"""),"A+")</f>
        <v>A+</v>
      </c>
      <c r="C5" s="25">
        <f>IFERROR(__xludf.DUMMYFUNCTION("""COMPUTED_VALUE"""),603.750778609714)</f>
        <v>603.750778609714</v>
      </c>
    </row>
    <row r="6" customHeight="1" spans="1:3">
      <c r="A6" s="26" t="str">
        <f>IFERROR(__xludf.DUMMYFUNCTION("""COMPUTED_VALUE"""),"Samsung Galaxy Note10+ 5G 12+256")</f>
        <v>Samsung Galaxy Note10+ 5G 12+256</v>
      </c>
      <c r="B6" s="25" t="str">
        <f>IFERROR(__xludf.DUMMYFUNCTION("""COMPUTED_VALUE"""),"A+")</f>
        <v>A+</v>
      </c>
      <c r="C6" s="25">
        <f>IFERROR(__xludf.DUMMYFUNCTION("""COMPUTED_VALUE"""),188.657174660103)</f>
        <v>188.657174660103</v>
      </c>
    </row>
    <row r="7" customHeight="1" spans="1:3">
      <c r="A7" s="26" t="str">
        <f>IFERROR(__xludf.DUMMYFUNCTION("""COMPUTED_VALUE"""),"Samsung Galaxy Note20 Ultra 12+512")</f>
        <v>Samsung Galaxy Note20 Ultra 12+512</v>
      </c>
      <c r="B7" s="25" t="str">
        <f>IFERROR(__xludf.DUMMYFUNCTION("""COMPUTED_VALUE"""),"A+")</f>
        <v>A+</v>
      </c>
      <c r="C7" s="25">
        <f>IFERROR(__xludf.DUMMYFUNCTION("""COMPUTED_VALUE"""),315.891083151802)</f>
        <v>315.891083151802</v>
      </c>
    </row>
    <row r="8" customHeight="1" spans="1:3">
      <c r="A8" s="26" t="str">
        <f>IFERROR(__xludf.DUMMYFUNCTION("""COMPUTED_VALUE"""),"Samsung Galaxy Note9 6+128")</f>
        <v>Samsung Galaxy Note9 6+128</v>
      </c>
      <c r="B8" s="25" t="str">
        <f>IFERROR(__xludf.DUMMYFUNCTION("""COMPUTED_VALUE"""),"A+")</f>
        <v>A+</v>
      </c>
      <c r="C8" s="25">
        <f>IFERROR(__xludf.DUMMYFUNCTION("""COMPUTED_VALUE"""),127.693106377104)</f>
        <v>127.693106377104</v>
      </c>
    </row>
    <row r="9" customHeight="1" spans="1:3">
      <c r="A9" s="26" t="str">
        <f>IFERROR(__xludf.DUMMYFUNCTION("""COMPUTED_VALUE"""),"Samsung Galaxy S10 6+128")</f>
        <v>Samsung Galaxy S10 6+128</v>
      </c>
      <c r="B9" s="25" t="str">
        <f>IFERROR(__xludf.DUMMYFUNCTION("""COMPUTED_VALUE"""),"A+")</f>
        <v>A+</v>
      </c>
      <c r="C9" s="25">
        <f>IFERROR(__xludf.DUMMYFUNCTION("""COMPUTED_VALUE"""),129.085924204052)</f>
        <v>129.085924204052</v>
      </c>
    </row>
    <row r="10" customHeight="1" spans="1:3">
      <c r="A10" s="26" t="str">
        <f>IFERROR(__xludf.DUMMYFUNCTION("""COMPUTED_VALUE"""),"Samsung Galaxy S10+ 8+128")</f>
        <v>Samsung Galaxy S10+ 8+128</v>
      </c>
      <c r="B10" s="25" t="str">
        <f>IFERROR(__xludf.DUMMYFUNCTION("""COMPUTED_VALUE"""),"A+")</f>
        <v>A+</v>
      </c>
      <c r="C10" s="25">
        <f>IFERROR(__xludf.DUMMYFUNCTION("""COMPUTED_VALUE"""),154.156645089115)</f>
        <v>154.156645089115</v>
      </c>
    </row>
    <row r="11" customHeight="1" spans="1:3">
      <c r="A11" s="26" t="str">
        <f>IFERROR(__xludf.DUMMYFUNCTION("""COMPUTED_VALUE"""),"Samsung Galaxy S20 Ultra 12+128")</f>
        <v>Samsung Galaxy S20 Ultra 12+128</v>
      </c>
      <c r="B11" s="25" t="str">
        <f>IFERROR(__xludf.DUMMYFUNCTION("""COMPUTED_VALUE"""),"A+")</f>
        <v>A+</v>
      </c>
      <c r="C11" s="25">
        <f>IFERROR(__xludf.DUMMYFUNCTION("""COMPUTED_VALUE"""),243.255731258208)</f>
        <v>243.255731258208</v>
      </c>
    </row>
    <row r="12" customHeight="1" spans="1:3">
      <c r="A12" s="26" t="str">
        <f>IFERROR(__xludf.DUMMYFUNCTION("""COMPUTED_VALUE"""),"Samsung Galaxy S21+ 5G 8+128")</f>
        <v>Samsung Galaxy S21+ 5G 8+128</v>
      </c>
      <c r="B12" s="25" t="str">
        <f>IFERROR(__xludf.DUMMYFUNCTION("""COMPUTED_VALUE"""),"A+")</f>
        <v>A+</v>
      </c>
      <c r="C12" s="25">
        <f>IFERROR(__xludf.DUMMYFUNCTION("""COMPUTED_VALUE"""),156.013828650516)</f>
        <v>156.013828650516</v>
      </c>
    </row>
    <row r="13" customHeight="1" spans="1:3">
      <c r="A13" s="26" t="str">
        <f>IFERROR(__xludf.DUMMYFUNCTION("""COMPUTED_VALUE"""),"Samsung Galaxy S21+ 5G 8+256")</f>
        <v>Samsung Galaxy S21+ 5G 8+256</v>
      </c>
      <c r="B13" s="25" t="str">
        <f>IFERROR(__xludf.DUMMYFUNCTION("""COMPUTED_VALUE"""),"A+")</f>
        <v>A+</v>
      </c>
      <c r="C13" s="25">
        <f>IFERROR(__xludf.DUMMYFUNCTION("""COMPUTED_VALUE"""),166.924328087078)</f>
        <v>166.924328087078</v>
      </c>
    </row>
    <row r="14" customHeight="1" spans="1:3">
      <c r="A14" s="26" t="str">
        <f>IFERROR(__xludf.DUMMYFUNCTION("""COMPUTED_VALUE"""),"Samsung Galaxy S21 FE 5G 6+128")</f>
        <v>Samsung Galaxy S21 FE 5G 6+128</v>
      </c>
      <c r="B14" s="25" t="str">
        <f>IFERROR(__xludf.DUMMYFUNCTION("""COMPUTED_VALUE"""),"A+")</f>
        <v>A+</v>
      </c>
      <c r="C14" s="25">
        <f>IFERROR(__xludf.DUMMYFUNCTION("""COMPUTED_VALUE"""),140.693111930498)</f>
        <v>140.693111930498</v>
      </c>
    </row>
    <row r="15" customHeight="1" spans="1:3">
      <c r="A15" s="26" t="str">
        <f>IFERROR(__xludf.DUMMYFUNCTION("""COMPUTED_VALUE"""),"Samsung Galaxy S21 5G 8+128")</f>
        <v>Samsung Galaxy S21 5G 8+128</v>
      </c>
      <c r="B15" s="25" t="str">
        <f>IFERROR(__xludf.DUMMYFUNCTION("""COMPUTED_VALUE"""),"A+")</f>
        <v>A+</v>
      </c>
      <c r="C15" s="25">
        <f>IFERROR(__xludf.DUMMYFUNCTION("""COMPUTED_VALUE"""),151.603192302446)</f>
        <v>151.603192302446</v>
      </c>
    </row>
    <row r="16" customHeight="1" spans="1:3">
      <c r="A16" s="26" t="str">
        <f>IFERROR(__xludf.DUMMYFUNCTION("""COMPUTED_VALUE"""),"Samsung Galaxy S21 5G 8+256")</f>
        <v>Samsung Galaxy S21 5G 8+256</v>
      </c>
      <c r="B16" s="25" t="str">
        <f>IFERROR(__xludf.DUMMYFUNCTION("""COMPUTED_VALUE"""),"A+")</f>
        <v>A+</v>
      </c>
      <c r="C16" s="25">
        <f>IFERROR(__xludf.DUMMYFUNCTION("""COMPUTED_VALUE"""),166.924328087078)</f>
        <v>166.924328087078</v>
      </c>
    </row>
    <row r="17" customHeight="1" spans="1:3">
      <c r="A17" s="26" t="str">
        <f>IFERROR(__xludf.DUMMYFUNCTION("""COMPUTED_VALUE"""),"Samsung Galaxy S21 Ultra 5G 12+128")</f>
        <v>Samsung Galaxy S21 Ultra 5G 12+128</v>
      </c>
      <c r="B17" s="25" t="str">
        <f>IFERROR(__xludf.DUMMYFUNCTION("""COMPUTED_VALUE"""),"A+")</f>
        <v>A+</v>
      </c>
      <c r="C17" s="25">
        <f>IFERROR(__xludf.DUMMYFUNCTION("""COMPUTED_VALUE"""),257.392294402141)</f>
        <v>257.392294402141</v>
      </c>
    </row>
    <row r="18" customHeight="1" spans="1:3">
      <c r="A18" s="26" t="str">
        <f>IFERROR(__xludf.DUMMYFUNCTION("""COMPUTED_VALUE"""),"Samsung Galaxy S21 Ultra 5G 12+256")</f>
        <v>Samsung Galaxy S21 Ultra 5G 12+256</v>
      </c>
      <c r="B18" s="25" t="str">
        <f>IFERROR(__xludf.DUMMYFUNCTION("""COMPUTED_VALUE"""),"A+")</f>
        <v>A+</v>
      </c>
      <c r="C18" s="25">
        <f>IFERROR(__xludf.DUMMYFUNCTION("""COMPUTED_VALUE"""),288.59151150752)</f>
        <v>288.59151150752</v>
      </c>
    </row>
    <row r="19" customHeight="1" spans="1:3">
      <c r="A19" s="26" t="str">
        <f>IFERROR(__xludf.DUMMYFUNCTION("""COMPUTED_VALUE"""),"Samsung Galaxy S22+ 5G 8+128")</f>
        <v>Samsung Galaxy S22+ 5G 8+128</v>
      </c>
      <c r="B19" s="25" t="str">
        <f>IFERROR(__xludf.DUMMYFUNCTION("""COMPUTED_VALUE"""),"A+")</f>
        <v>A+</v>
      </c>
      <c r="C19" s="25">
        <f>IFERROR(__xludf.DUMMYFUNCTION("""COMPUTED_VALUE"""),198.163156329024)</f>
        <v>198.163156329024</v>
      </c>
    </row>
    <row r="20" customHeight="1" spans="1:3">
      <c r="A20" s="26" t="str">
        <f>IFERROR(__xludf.DUMMYFUNCTION("""COMPUTED_VALUE"""),"Samsung Galaxy S22 5G 8+128")</f>
        <v>Samsung Galaxy S22 5G 8+128</v>
      </c>
      <c r="B20" s="25" t="str">
        <f>IFERROR(__xludf.DUMMYFUNCTION("""COMPUTED_VALUE"""),"A+")</f>
        <v>A+</v>
      </c>
      <c r="C20" s="25">
        <f>IFERROR(__xludf.DUMMYFUNCTION("""COMPUTED_VALUE"""),185.976195906715)</f>
        <v>185.976195906715</v>
      </c>
    </row>
    <row r="21" customHeight="1" spans="1:3">
      <c r="A21" s="26" t="str">
        <f>IFERROR(__xludf.DUMMYFUNCTION("""COMPUTED_VALUE"""),"Samsung Galaxy S22 Ultra 5G 8+128")</f>
        <v>Samsung Galaxy S22 Ultra 5G 8+128</v>
      </c>
      <c r="B21" s="25" t="str">
        <f>IFERROR(__xludf.DUMMYFUNCTION("""COMPUTED_VALUE"""),"A+")</f>
        <v>A+</v>
      </c>
      <c r="C21" s="25">
        <f>IFERROR(__xludf.DUMMYFUNCTION("""COMPUTED_VALUE"""),309.55293089437)</f>
        <v>309.55293089437</v>
      </c>
    </row>
    <row r="22" customHeight="1" spans="1:3">
      <c r="A22" s="26" t="str">
        <f>IFERROR(__xludf.DUMMYFUNCTION("""COMPUTED_VALUE"""),"Samsung Galaxy S23 8+128")</f>
        <v>Samsung Galaxy S23 8+128</v>
      </c>
      <c r="B22" s="25" t="str">
        <f>IFERROR(__xludf.DUMMYFUNCTION("""COMPUTED_VALUE"""),"A+")</f>
        <v>A+</v>
      </c>
      <c r="C22" s="25">
        <f>IFERROR(__xludf.DUMMYFUNCTION("""COMPUTED_VALUE"""),286.397530084847)</f>
        <v>286.397530084847</v>
      </c>
    </row>
    <row r="23" customHeight="1" spans="1:3">
      <c r="A23" s="26" t="str">
        <f>IFERROR(__xludf.DUMMYFUNCTION("""COMPUTED_VALUE"""),"Samsung Galaxy S23+ 8+256")</f>
        <v>Samsung Galaxy S23+ 8+256</v>
      </c>
      <c r="B23" s="25" t="str">
        <f>IFERROR(__xludf.DUMMYFUNCTION("""COMPUTED_VALUE"""),"A+")</f>
        <v>A+</v>
      </c>
      <c r="C23" s="25">
        <f>IFERROR(__xludf.DUMMYFUNCTION("""COMPUTED_VALUE"""),301.753493299563)</f>
        <v>301.753493299563</v>
      </c>
    </row>
    <row r="24" customHeight="1" spans="1:3">
      <c r="A24" s="26" t="str">
        <f>IFERROR(__xludf.DUMMYFUNCTION("""COMPUTED_VALUE"""),"Samsung Galaxy S23 FE 8+128")</f>
        <v>Samsung Galaxy S23 FE 8+128</v>
      </c>
      <c r="B24" s="25" t="str">
        <f>IFERROR(__xludf.DUMMYFUNCTION("""COMPUTED_VALUE"""),"A+")</f>
        <v>A+</v>
      </c>
      <c r="C24" s="25">
        <f>IFERROR(__xludf.DUMMYFUNCTION("""COMPUTED_VALUE"""),224.975290624745)</f>
        <v>224.975290624745</v>
      </c>
    </row>
    <row r="25" customHeight="1" spans="1:3">
      <c r="A25" s="26" t="str">
        <f>IFERROR(__xludf.DUMMYFUNCTION("""COMPUTED_VALUE"""),"Samsung Galaxy S23 Ultra 8+256")</f>
        <v>Samsung Galaxy S23 Ultra 8+256</v>
      </c>
      <c r="B25" s="25" t="str">
        <f>IFERROR(__xludf.DUMMYFUNCTION("""COMPUTED_VALUE"""),"A+")</f>
        <v>A+</v>
      </c>
      <c r="C25" s="25">
        <f>IFERROR(__xludf.DUMMYFUNCTION("""COMPUTED_VALUE"""),420.456148146847)</f>
        <v>420.456148146847</v>
      </c>
    </row>
    <row r="26" customHeight="1" spans="1:3">
      <c r="A26" s="26" t="str">
        <f>IFERROR(__xludf.DUMMYFUNCTION("""COMPUTED_VALUE"""),"Samsung Galaxy S9 4+64")</f>
        <v>Samsung Galaxy S9 4+64</v>
      </c>
      <c r="B26" s="25" t="str">
        <f>IFERROR(__xludf.DUMMYFUNCTION("""COMPUTED_VALUE"""),"A+")</f>
        <v>A+</v>
      </c>
      <c r="C26" s="25">
        <f>IFERROR(__xludf.DUMMYFUNCTION("""COMPUTED_VALUE"""),93.5690696168788)</f>
        <v>93.5690696168788</v>
      </c>
    </row>
    <row r="27" customHeight="1" spans="1:3">
      <c r="A27" s="26" t="str">
        <f>IFERROR(__xludf.DUMMYFUNCTION("""COMPUTED_VALUE"""),"Samsung Galaxy S9+ 4+64")</f>
        <v>Samsung Galaxy S9+ 4+64</v>
      </c>
      <c r="B27" s="25" t="str">
        <f>IFERROR(__xludf.DUMMYFUNCTION("""COMPUTED_VALUE"""),"A+")</f>
        <v>A+</v>
      </c>
      <c r="C27" s="25">
        <f>IFERROR(__xludf.DUMMYFUNCTION("""COMPUTED_VALUE"""),111.675701367202)</f>
        <v>111.675701367202</v>
      </c>
    </row>
    <row r="28" customHeight="1" spans="1:3">
      <c r="A28" s="26" t="str">
        <f>IFERROR(__xludf.DUMMYFUNCTION("""COMPUTED_VALUE"""),"Samsung Galaxy Z Fold3 5G 12+256")</f>
        <v>Samsung Galaxy Z Fold3 5G 12+256</v>
      </c>
      <c r="B28" s="25" t="str">
        <f>IFERROR(__xludf.DUMMYFUNCTION("""COMPUTED_VALUE"""),"A+")</f>
        <v>A+</v>
      </c>
      <c r="C28" s="25">
        <f>IFERROR(__xludf.DUMMYFUNCTION("""COMPUTED_VALUE"""),372.911382884934)</f>
        <v>372.911382884934</v>
      </c>
    </row>
    <row r="29" customHeight="1" spans="1:3">
      <c r="A29" s="26" t="str">
        <f>IFERROR(__xludf.DUMMYFUNCTION("""COMPUTED_VALUE"""),"Samsung Galaxy Z Fold3 5G 12+512")</f>
        <v>Samsung Galaxy Z Fold3 5G 12+512</v>
      </c>
      <c r="B29" s="25" t="str">
        <f>IFERROR(__xludf.DUMMYFUNCTION("""COMPUTED_VALUE"""),"A+")</f>
        <v>A+</v>
      </c>
      <c r="C29" s="25">
        <f>IFERROR(__xludf.DUMMYFUNCTION("""COMPUTED_VALUE"""),387.535358684343)</f>
        <v>387.535358684343</v>
      </c>
    </row>
    <row r="30" customHeight="1" spans="1:3">
      <c r="A30" s="26" t="str">
        <f>IFERROR(__xludf.DUMMYFUNCTION("""COMPUTED_VALUE"""),"Samsung Galaxy Z Fold4 12+256")</f>
        <v>Samsung Galaxy Z Fold4 12+256</v>
      </c>
      <c r="B30" s="25" t="str">
        <f>IFERROR(__xludf.DUMMYFUNCTION("""COMPUTED_VALUE"""),"A+")</f>
        <v>A+</v>
      </c>
      <c r="C30" s="25">
        <f>IFERROR(__xludf.DUMMYFUNCTION("""COMPUTED_VALUE"""),446.031261881979)</f>
        <v>446.031261881979</v>
      </c>
    </row>
    <row r="31" customHeight="1" spans="1:3">
      <c r="A31" s="26" t="str">
        <f>IFERROR(__xludf.DUMMYFUNCTION("""COMPUTED_VALUE"""),"Samsung Galaxy Z Fold4 12+512")</f>
        <v>Samsung Galaxy Z Fold4 12+512</v>
      </c>
      <c r="B31" s="25" t="str">
        <f>IFERROR(__xludf.DUMMYFUNCTION("""COMPUTED_VALUE"""),"A+")</f>
        <v>A+</v>
      </c>
      <c r="C31" s="25">
        <f>IFERROR(__xludf.DUMMYFUNCTION("""COMPUTED_VALUE"""),460.655237681389)</f>
        <v>460.655237681389</v>
      </c>
    </row>
    <row r="32" customHeight="1" spans="1:3">
      <c r="A32" s="26" t="str">
        <f>IFERROR(__xludf.DUMMYFUNCTION("""COMPUTED_VALUE"""),"Samsung Galaxy Z Fold5 12+256")</f>
        <v>Samsung Galaxy Z Fold5 12+256</v>
      </c>
      <c r="B32" s="25" t="str">
        <f>IFERROR(__xludf.DUMMYFUNCTION("""COMPUTED_VALUE"""),"A+")</f>
        <v>A+</v>
      </c>
      <c r="C32" s="25">
        <f>IFERROR(__xludf.DUMMYFUNCTION("""COMPUTED_VALUE"""),650.766923073709)</f>
        <v>650.766923073709</v>
      </c>
    </row>
    <row r="33" customHeight="1" spans="1:3">
      <c r="A33" s="26" t="str">
        <f>IFERROR(__xludf.DUMMYFUNCTION("""COMPUTED_VALUE"""),"Samsung Galaxy Z Fold5 12+512")</f>
        <v>Samsung Galaxy Z Fold5 12+512</v>
      </c>
      <c r="B33" s="25" t="str">
        <f>IFERROR(__xludf.DUMMYFUNCTION("""COMPUTED_VALUE"""),"A+")</f>
        <v>A+</v>
      </c>
      <c r="C33" s="25">
        <f>IFERROR(__xludf.DUMMYFUNCTION("""COMPUTED_VALUE"""),665.390898873118)</f>
        <v>665.390898873118</v>
      </c>
    </row>
    <row r="34" customHeight="1" spans="1:3">
      <c r="A34" s="26" t="str">
        <f>IFERROR(__xludf.DUMMYFUNCTION("""COMPUTED_VALUE"""),"Samsung Galaxy Z Flip3 5G 8+128")</f>
        <v>Samsung Galaxy Z Flip3 5G 8+128</v>
      </c>
      <c r="B34" s="25" t="str">
        <f>IFERROR(__xludf.DUMMYFUNCTION("""COMPUTED_VALUE"""),"A+")</f>
        <v>A+</v>
      </c>
      <c r="C34" s="25">
        <f>IFERROR(__xludf.DUMMYFUNCTION("""COMPUTED_VALUE"""),190.111685392319)</f>
        <v>190.111685392319</v>
      </c>
    </row>
    <row r="35" customHeight="1" spans="1:3">
      <c r="A35" s="26" t="str">
        <f>IFERROR(__xludf.DUMMYFUNCTION("""COMPUTED_VALUE"""),"Samsung Galaxy Z Flip4 8+128")</f>
        <v>Samsung Galaxy Z Flip4 8+128</v>
      </c>
      <c r="B35" s="25" t="str">
        <f>IFERROR(__xludf.DUMMYFUNCTION("""COMPUTED_VALUE"""),"A+")</f>
        <v>A+</v>
      </c>
      <c r="C35" s="25">
        <f>IFERROR(__xludf.DUMMYFUNCTION("""COMPUTED_VALUE"""),219.359636991138)</f>
        <v>219.359636991138</v>
      </c>
    </row>
    <row r="36" customHeight="1" spans="1:3">
      <c r="A36" s="26" t="str">
        <f>IFERROR(__xludf.DUMMYFUNCTION("""COMPUTED_VALUE"""),"Samsung Galaxy Z Flip4 8+256")</f>
        <v>Samsung Galaxy Z Flip4 8+256</v>
      </c>
      <c r="B36" s="25" t="str">
        <f>IFERROR(__xludf.DUMMYFUNCTION("""COMPUTED_VALUE"""),"A+")</f>
        <v>A+</v>
      </c>
      <c r="C36" s="25">
        <f>IFERROR(__xludf.DUMMYFUNCTION("""COMPUTED_VALUE"""),226.671624890842)</f>
        <v>226.671624890842</v>
      </c>
    </row>
    <row r="37" customHeight="1" spans="1:3">
      <c r="A37" s="26" t="str">
        <f>IFERROR(__xludf.DUMMYFUNCTION("""COMPUTED_VALUE"""),"Samsung Galaxy Z Flip5 12+512")</f>
        <v>Samsung Galaxy Z Flip5 12+512</v>
      </c>
      <c r="B37" s="25" t="str">
        <f>IFERROR(__xludf.DUMMYFUNCTION("""COMPUTED_VALUE"""),"A+")</f>
        <v>A+</v>
      </c>
      <c r="C37" s="25">
        <f>IFERROR(__xludf.DUMMYFUNCTION("""COMPUTED_VALUE"""),343.663431286115)</f>
        <v>343.663431286115</v>
      </c>
    </row>
    <row r="38" customHeight="1" spans="1:3">
      <c r="A38" s="26" t="str">
        <f>IFERROR(__xludf.DUMMYFUNCTION("""COMPUTED_VALUE"""),"Samsung Galaxy Z Flip5 8+256")</f>
        <v>Samsung Galaxy Z Flip5 8+256</v>
      </c>
      <c r="B38" s="25" t="str">
        <f>IFERROR(__xludf.DUMMYFUNCTION("""COMPUTED_VALUE"""),"A+")</f>
        <v>A+</v>
      </c>
      <c r="C38" s="25">
        <f>IFERROR(__xludf.DUMMYFUNCTION("""COMPUTED_VALUE"""),329.039455486706)</f>
        <v>329.039455486706</v>
      </c>
    </row>
    <row r="39" customHeight="1" spans="1:3">
      <c r="A39" s="26" t="str">
        <f>IFERROR(__xludf.DUMMYFUNCTION("""COMPUTED_VALUE"""),"Samsung Galaxy Z Flip6 12+256")</f>
        <v>Samsung Galaxy Z Flip6 12+256</v>
      </c>
      <c r="B39" s="25" t="str">
        <f>IFERROR(__xludf.DUMMYFUNCTION("""COMPUTED_VALUE"""),"A+")</f>
        <v>A+</v>
      </c>
      <c r="C39" s="25">
        <f>IFERROR(__xludf.DUMMYFUNCTION("""COMPUTED_VALUE"""),475.279213480798)</f>
        <v>475.279213480798</v>
      </c>
    </row>
    <row r="40" customHeight="1" spans="1:3">
      <c r="A40" s="26" t="str">
        <f>IFERROR(__xludf.DUMMYFUNCTION("""COMPUTED_VALUE"""),"Samsung Galaxy Z Flip6 12+512")</f>
        <v>Samsung Galaxy Z Flip6 12+512</v>
      </c>
      <c r="B40" s="25" t="str">
        <f>IFERROR(__xludf.DUMMYFUNCTION("""COMPUTED_VALUE"""),"A+")</f>
        <v>A+</v>
      </c>
      <c r="C40" s="25">
        <f>IFERROR(__xludf.DUMMYFUNCTION("""COMPUTED_VALUE"""),504.527165079617)</f>
        <v>504.527165079617</v>
      </c>
    </row>
    <row r="41" customHeight="1" spans="1:3">
      <c r="A41" s="24"/>
      <c r="B41" s="24"/>
      <c r="C41" s="24"/>
    </row>
    <row r="42" customHeight="1" spans="1:3">
      <c r="A42" s="24"/>
      <c r="B42" s="24"/>
      <c r="C42" s="24"/>
    </row>
    <row r="43" customHeight="1" spans="1:3">
      <c r="A43" s="24"/>
      <c r="B43" s="24"/>
      <c r="C43" s="24"/>
    </row>
    <row r="44" customHeight="1" spans="1:3">
      <c r="A44" s="24"/>
      <c r="B44" s="24"/>
      <c r="C44" s="24"/>
    </row>
    <row r="45" customHeight="1" spans="1:3">
      <c r="A45" s="24"/>
      <c r="B45" s="24"/>
      <c r="C45" s="24"/>
    </row>
    <row r="46" customHeight="1" spans="1:3">
      <c r="A46" s="24"/>
      <c r="B46" s="24"/>
      <c r="C46" s="24"/>
    </row>
    <row r="47" customHeight="1" spans="1:3">
      <c r="A47" s="24"/>
      <c r="B47" s="24"/>
      <c r="C47" s="24"/>
    </row>
    <row r="48" customHeight="1" spans="1:3">
      <c r="A48" s="24"/>
      <c r="B48" s="24"/>
      <c r="C48" s="24"/>
    </row>
    <row r="49" customHeight="1" spans="1:3">
      <c r="A49" s="24"/>
      <c r="B49" s="24"/>
      <c r="C49" s="24"/>
    </row>
    <row r="50" ht="13.1" spans="1:3">
      <c r="A50" s="24"/>
      <c r="B50" s="24"/>
      <c r="C50" s="24"/>
    </row>
    <row r="51" ht="13.1" spans="1:3">
      <c r="A51" s="24"/>
      <c r="B51" s="24"/>
      <c r="C51" s="24"/>
    </row>
    <row r="52" ht="13.1" spans="1:3">
      <c r="A52" s="24"/>
      <c r="B52" s="24"/>
      <c r="C52" s="24"/>
    </row>
    <row r="53" ht="13.1" spans="1:3">
      <c r="A53" s="24"/>
      <c r="B53" s="24"/>
      <c r="C53" s="24"/>
    </row>
    <row r="54" ht="13.1" spans="1:3">
      <c r="A54" s="24"/>
      <c r="B54" s="24"/>
      <c r="C54" s="24"/>
    </row>
    <row r="55" ht="13.1" spans="1:3">
      <c r="A55" s="24"/>
      <c r="B55" s="24"/>
      <c r="C55" s="24"/>
    </row>
    <row r="56" ht="13.1" spans="1:3">
      <c r="A56" s="24"/>
      <c r="B56" s="24"/>
      <c r="C56" s="24"/>
    </row>
    <row r="57" ht="13.1" spans="1:3">
      <c r="A57" s="24"/>
      <c r="B57" s="24"/>
      <c r="C57" s="24"/>
    </row>
    <row r="58" ht="13.1" spans="1:3">
      <c r="A58" s="24"/>
      <c r="B58" s="24"/>
      <c r="C58" s="24"/>
    </row>
    <row r="59" ht="13.1" spans="1:3">
      <c r="A59" s="24"/>
      <c r="B59" s="24"/>
      <c r="C59" s="24"/>
    </row>
    <row r="60" ht="13.1" spans="1:3">
      <c r="A60" s="24"/>
      <c r="B60" s="24"/>
      <c r="C60" s="24"/>
    </row>
    <row r="61" ht="13.1" spans="1:3">
      <c r="A61" s="24"/>
      <c r="B61" s="24"/>
      <c r="C61" s="24"/>
    </row>
    <row r="62" ht="13.1" spans="1:3">
      <c r="A62" s="24"/>
      <c r="B62" s="24"/>
      <c r="C62" s="24"/>
    </row>
    <row r="63" ht="13.1" spans="1:3">
      <c r="A63" s="24"/>
      <c r="B63" s="24"/>
      <c r="C63" s="24"/>
    </row>
    <row r="64" ht="13.1" spans="1:3">
      <c r="A64" s="24"/>
      <c r="B64" s="24"/>
      <c r="C64" s="24"/>
    </row>
    <row r="65" ht="13.1" spans="1:3">
      <c r="A65" s="24"/>
      <c r="B65" s="24"/>
      <c r="C65" s="24"/>
    </row>
    <row r="66" ht="13.1" spans="1:3">
      <c r="A66" s="24"/>
      <c r="B66" s="24"/>
      <c r="C66" s="24"/>
    </row>
    <row r="67" ht="13.1" spans="1:3">
      <c r="A67" s="24"/>
      <c r="B67" s="24"/>
      <c r="C67" s="24"/>
    </row>
    <row r="68" ht="13.1" spans="1:3">
      <c r="A68" s="24"/>
      <c r="B68" s="24"/>
      <c r="C68" s="24"/>
    </row>
    <row r="69" ht="13.1" spans="1:3">
      <c r="A69" s="24"/>
      <c r="B69" s="24"/>
      <c r="C69" s="24"/>
    </row>
    <row r="70" ht="13.1" spans="1:3">
      <c r="A70" s="24"/>
      <c r="B70" s="24"/>
      <c r="C70" s="24"/>
    </row>
    <row r="71" ht="13.1" spans="1:3">
      <c r="A71" s="24"/>
      <c r="B71" s="24"/>
      <c r="C71" s="24"/>
    </row>
    <row r="72" ht="13.1" spans="1:3">
      <c r="A72" s="24"/>
      <c r="B72" s="24"/>
      <c r="C72" s="24"/>
    </row>
    <row r="73" ht="13.1" spans="1:3">
      <c r="A73" s="24"/>
      <c r="B73" s="24"/>
      <c r="C73" s="24"/>
    </row>
    <row r="74" ht="13.1" spans="1:3">
      <c r="A74" s="24"/>
      <c r="B74" s="24"/>
      <c r="C74" s="24"/>
    </row>
    <row r="75" ht="13.1" spans="1:3">
      <c r="A75" s="24"/>
      <c r="B75" s="24"/>
      <c r="C75" s="24"/>
    </row>
    <row r="76" ht="13.1" spans="1:3">
      <c r="A76" s="24"/>
      <c r="B76" s="24"/>
      <c r="C76" s="24"/>
    </row>
    <row r="77" ht="13.1" spans="1:3">
      <c r="A77" s="24"/>
      <c r="B77" s="24"/>
      <c r="C77" s="24"/>
    </row>
    <row r="78" ht="13.1" spans="1:3">
      <c r="A78" s="24"/>
      <c r="B78" s="24"/>
      <c r="C78" s="24"/>
    </row>
    <row r="79" ht="13.1" spans="1:3">
      <c r="A79" s="24"/>
      <c r="B79" s="24"/>
      <c r="C79" s="24"/>
    </row>
    <row r="80" ht="13.1" spans="1:3">
      <c r="A80" s="24"/>
      <c r="B80" s="24"/>
      <c r="C80" s="24"/>
    </row>
    <row r="81" ht="13.1" spans="1:3">
      <c r="A81" s="24"/>
      <c r="B81" s="24"/>
      <c r="C81" s="24"/>
    </row>
    <row r="82" ht="13.1" spans="1:3">
      <c r="A82" s="24"/>
      <c r="B82" s="24"/>
      <c r="C82" s="24"/>
    </row>
    <row r="83" ht="13.1" spans="1:3">
      <c r="A83" s="24"/>
      <c r="B83" s="24"/>
      <c r="C83" s="24"/>
    </row>
    <row r="84" ht="13.1" spans="1:3">
      <c r="A84" s="24"/>
      <c r="B84" s="24"/>
      <c r="C84" s="24"/>
    </row>
    <row r="85" ht="13.1" spans="1:3">
      <c r="A85" s="24"/>
      <c r="B85" s="24"/>
      <c r="C85" s="24"/>
    </row>
    <row r="86" ht="13.1" spans="1:3">
      <c r="A86" s="24"/>
      <c r="B86" s="24"/>
      <c r="C86" s="24"/>
    </row>
    <row r="87" ht="13.1" spans="1:3">
      <c r="A87" s="24"/>
      <c r="B87" s="24"/>
      <c r="C87" s="24"/>
    </row>
    <row r="88" ht="13.1" spans="1:3">
      <c r="A88" s="24"/>
      <c r="B88" s="24"/>
      <c r="C88" s="24"/>
    </row>
    <row r="89" ht="13.1" spans="1:3">
      <c r="A89" s="24"/>
      <c r="B89" s="24"/>
      <c r="C89" s="24"/>
    </row>
    <row r="90" ht="13.1" spans="1:3">
      <c r="A90" s="24"/>
      <c r="B90" s="24"/>
      <c r="C90" s="24"/>
    </row>
    <row r="91" ht="13.1" spans="1:3">
      <c r="A91" s="24"/>
      <c r="B91" s="24"/>
      <c r="C91" s="24"/>
    </row>
    <row r="92" ht="13.1" spans="1:3">
      <c r="A92" s="24"/>
      <c r="B92" s="24"/>
      <c r="C92" s="24"/>
    </row>
    <row r="93" ht="13.1" spans="1:3">
      <c r="A93" s="24"/>
      <c r="B93" s="24"/>
      <c r="C93" s="24"/>
    </row>
    <row r="94" ht="13.1" spans="1:3">
      <c r="A94" s="24"/>
      <c r="B94" s="24"/>
      <c r="C94" s="24"/>
    </row>
    <row r="95" ht="13.1" spans="1:3">
      <c r="A95" s="24"/>
      <c r="B95" s="24"/>
      <c r="C95" s="24"/>
    </row>
    <row r="96" ht="13.1" spans="1:3">
      <c r="A96" s="24"/>
      <c r="B96" s="24"/>
      <c r="C96" s="24"/>
    </row>
    <row r="97" ht="13.1" spans="1:3">
      <c r="A97" s="24"/>
      <c r="B97" s="24"/>
      <c r="C97" s="24"/>
    </row>
    <row r="98" ht="13.1" spans="1:3">
      <c r="A98" s="24"/>
      <c r="B98" s="24"/>
      <c r="C98" s="24"/>
    </row>
    <row r="99" ht="13.1" spans="1:3">
      <c r="A99" s="24"/>
      <c r="B99" s="24"/>
      <c r="C99" s="24"/>
    </row>
    <row r="100" ht="13.1" spans="1:3">
      <c r="A100" s="24"/>
      <c r="B100" s="24"/>
      <c r="C100" s="24"/>
    </row>
    <row r="101" ht="13.1" spans="1:3">
      <c r="A101" s="24"/>
      <c r="B101" s="24"/>
      <c r="C101" s="24"/>
    </row>
    <row r="102" ht="13.1" spans="1:3">
      <c r="A102" s="24"/>
      <c r="B102" s="24"/>
      <c r="C102" s="24"/>
    </row>
    <row r="103" ht="13.1" spans="1:3">
      <c r="A103" s="24"/>
      <c r="B103" s="24"/>
      <c r="C103" s="24"/>
    </row>
    <row r="104" ht="13.1" spans="1:3">
      <c r="A104" s="24"/>
      <c r="B104" s="24"/>
      <c r="C104" s="24"/>
    </row>
    <row r="105" ht="13.1" spans="1:3">
      <c r="A105" s="24"/>
      <c r="B105" s="24"/>
      <c r="C105" s="24"/>
    </row>
    <row r="106" ht="13.1" spans="1:3">
      <c r="A106" s="24"/>
      <c r="B106" s="24"/>
      <c r="C106" s="24"/>
    </row>
    <row r="107" ht="13.1" spans="1:3">
      <c r="A107" s="24"/>
      <c r="B107" s="24"/>
      <c r="C107" s="24"/>
    </row>
    <row r="108" ht="13.1" spans="1:3">
      <c r="A108" s="24"/>
      <c r="B108" s="24"/>
      <c r="C108" s="24"/>
    </row>
    <row r="109" ht="13.1" spans="1:3">
      <c r="A109" s="24"/>
      <c r="B109" s="24"/>
      <c r="C109" s="24"/>
    </row>
    <row r="110" ht="13.1" spans="1:3">
      <c r="A110" s="24"/>
      <c r="B110" s="24"/>
      <c r="C110" s="24"/>
    </row>
    <row r="111" ht="13.1" spans="1:3">
      <c r="A111" s="24"/>
      <c r="B111" s="24"/>
      <c r="C111" s="24"/>
    </row>
    <row r="112" ht="13.1" spans="1:3">
      <c r="A112" s="24"/>
      <c r="B112" s="24"/>
      <c r="C112" s="24"/>
    </row>
    <row r="113" ht="13.1" spans="1:3">
      <c r="A113" s="24"/>
      <c r="B113" s="24"/>
      <c r="C113" s="24"/>
    </row>
    <row r="114" ht="13.1" spans="1:3">
      <c r="A114" s="24"/>
      <c r="B114" s="24"/>
      <c r="C114" s="24"/>
    </row>
    <row r="115" ht="13.1" spans="1:3">
      <c r="A115" s="24"/>
      <c r="B115" s="24"/>
      <c r="C115" s="24"/>
    </row>
    <row r="116" ht="13.1" spans="1:3">
      <c r="A116" s="24"/>
      <c r="B116" s="24"/>
      <c r="C116" s="24"/>
    </row>
    <row r="117" ht="13.1" spans="1:3">
      <c r="A117" s="24"/>
      <c r="B117" s="24"/>
      <c r="C117" s="24"/>
    </row>
    <row r="118" ht="13.1" spans="1:3">
      <c r="A118" s="24"/>
      <c r="B118" s="24"/>
      <c r="C118" s="24"/>
    </row>
    <row r="119" ht="13.1" spans="1:3">
      <c r="A119" s="24"/>
      <c r="B119" s="24"/>
      <c r="C119" s="24"/>
    </row>
    <row r="120" ht="13.1" spans="1:3">
      <c r="A120" s="24"/>
      <c r="B120" s="24"/>
      <c r="C120" s="24"/>
    </row>
    <row r="121" ht="13.1" spans="1:3">
      <c r="A121" s="24"/>
      <c r="B121" s="24"/>
      <c r="C121" s="24"/>
    </row>
    <row r="122" ht="13.1" spans="1:3">
      <c r="A122" s="24"/>
      <c r="B122" s="24"/>
      <c r="C122" s="24"/>
    </row>
    <row r="123" ht="13.1" spans="1:3">
      <c r="A123" s="24"/>
      <c r="B123" s="24"/>
      <c r="C123" s="24"/>
    </row>
    <row r="124" ht="13.1" spans="1:3">
      <c r="A124" s="24"/>
      <c r="B124" s="24"/>
      <c r="C124" s="24"/>
    </row>
    <row r="125" ht="13.1" spans="1:3">
      <c r="A125" s="24"/>
      <c r="B125" s="24"/>
      <c r="C125" s="24"/>
    </row>
    <row r="126" ht="13.1" spans="1:3">
      <c r="A126" s="24"/>
      <c r="B126" s="24"/>
      <c r="C126" s="24"/>
    </row>
    <row r="127" ht="13.1" spans="1:3">
      <c r="A127" s="24"/>
      <c r="B127" s="24"/>
      <c r="C127" s="24"/>
    </row>
    <row r="128" ht="13.1" spans="1:3">
      <c r="A128" s="24"/>
      <c r="B128" s="24"/>
      <c r="C128" s="24"/>
    </row>
    <row r="129" ht="13.1" spans="1:3">
      <c r="A129" s="24"/>
      <c r="B129" s="24"/>
      <c r="C129" s="24"/>
    </row>
    <row r="130" ht="13.1" spans="1:3">
      <c r="A130" s="24"/>
      <c r="B130" s="24"/>
      <c r="C130" s="24"/>
    </row>
    <row r="131" ht="13.1" spans="1:3">
      <c r="A131" s="24"/>
      <c r="B131" s="24"/>
      <c r="C131" s="24"/>
    </row>
    <row r="132" ht="13.1" spans="1:3">
      <c r="A132" s="24"/>
      <c r="B132" s="24"/>
      <c r="C132" s="24"/>
    </row>
    <row r="133" ht="13.1" spans="1:3">
      <c r="A133" s="24"/>
      <c r="B133" s="24"/>
      <c r="C133" s="24"/>
    </row>
    <row r="134" ht="13.1" spans="1:3">
      <c r="A134" s="24"/>
      <c r="B134" s="24"/>
      <c r="C134" s="24"/>
    </row>
    <row r="135" ht="13.1" spans="1:3">
      <c r="A135" s="24"/>
      <c r="B135" s="24"/>
      <c r="C135" s="24"/>
    </row>
    <row r="136" ht="13.1" spans="1:3">
      <c r="A136" s="24"/>
      <c r="B136" s="24"/>
      <c r="C136" s="24"/>
    </row>
    <row r="137" ht="13.1" spans="1:3">
      <c r="A137" s="24"/>
      <c r="B137" s="24"/>
      <c r="C137" s="24"/>
    </row>
    <row r="138" ht="13.1" spans="1:3">
      <c r="A138" s="24"/>
      <c r="B138" s="24"/>
      <c r="C138" s="24"/>
    </row>
    <row r="139" ht="13.1" spans="1:3">
      <c r="A139" s="24"/>
      <c r="B139" s="24"/>
      <c r="C139" s="24"/>
    </row>
    <row r="140" ht="13.1" spans="1:3">
      <c r="A140" s="24"/>
      <c r="B140" s="24"/>
      <c r="C140" s="24"/>
    </row>
    <row r="141" ht="13.1" spans="1:3">
      <c r="A141" s="24"/>
      <c r="B141" s="24"/>
      <c r="C141" s="24"/>
    </row>
    <row r="142" ht="13.1" spans="1:3">
      <c r="A142" s="24"/>
      <c r="B142" s="24"/>
      <c r="C142" s="24"/>
    </row>
    <row r="143" ht="13.1" spans="1:3">
      <c r="A143" s="24"/>
      <c r="B143" s="24"/>
      <c r="C143" s="24"/>
    </row>
    <row r="144" ht="13.1" spans="1:3">
      <c r="A144" s="24"/>
      <c r="B144" s="24"/>
      <c r="C144" s="24"/>
    </row>
    <row r="145" ht="13.1" spans="1:3">
      <c r="A145" s="24"/>
      <c r="B145" s="24"/>
      <c r="C145" s="24"/>
    </row>
    <row r="146" ht="13.1" spans="1:3">
      <c r="A146" s="24"/>
      <c r="B146" s="24"/>
      <c r="C146" s="24"/>
    </row>
    <row r="147" ht="13.1" spans="1:3">
      <c r="A147" s="24"/>
      <c r="B147" s="24"/>
      <c r="C147" s="24"/>
    </row>
    <row r="148" ht="13.1" spans="1:3">
      <c r="A148" s="24"/>
      <c r="B148" s="24"/>
      <c r="C148" s="24"/>
    </row>
    <row r="149" ht="13.1" spans="1:3">
      <c r="A149" s="24"/>
      <c r="B149" s="24"/>
      <c r="C149" s="24"/>
    </row>
    <row r="150" ht="13.1" spans="1:3">
      <c r="A150" s="24"/>
      <c r="B150" s="24"/>
      <c r="C150" s="24"/>
    </row>
    <row r="151" ht="13.1" spans="1:3">
      <c r="A151" s="24"/>
      <c r="B151" s="24"/>
      <c r="C151" s="24"/>
    </row>
    <row r="152" ht="13.1" spans="1:3">
      <c r="A152" s="24"/>
      <c r="B152" s="24"/>
      <c r="C152" s="24"/>
    </row>
    <row r="153" ht="13.1" spans="1:3">
      <c r="A153" s="24"/>
      <c r="B153" s="24"/>
      <c r="C153" s="24"/>
    </row>
    <row r="154" ht="13.1" spans="1:3">
      <c r="A154" s="24"/>
      <c r="B154" s="24"/>
      <c r="C154" s="24"/>
    </row>
    <row r="155" ht="13.1" spans="1:3">
      <c r="A155" s="24"/>
      <c r="B155" s="24"/>
      <c r="C155" s="24"/>
    </row>
    <row r="156" ht="13.1" spans="1:3">
      <c r="A156" s="24"/>
      <c r="B156" s="24"/>
      <c r="C156" s="24"/>
    </row>
    <row r="157" ht="13.1" spans="1:3">
      <c r="A157" s="24"/>
      <c r="B157" s="24"/>
      <c r="C157" s="24"/>
    </row>
    <row r="158" ht="13.1" spans="1:3">
      <c r="A158" s="24"/>
      <c r="B158" s="24"/>
      <c r="C158" s="24"/>
    </row>
    <row r="159" ht="13.1" spans="1:3">
      <c r="A159" s="24"/>
      <c r="B159" s="24"/>
      <c r="C159" s="24"/>
    </row>
    <row r="160" ht="13.1" spans="1:3">
      <c r="A160" s="24"/>
      <c r="B160" s="24"/>
      <c r="C160" s="24"/>
    </row>
    <row r="161" ht="13.1" spans="1:3">
      <c r="A161" s="24"/>
      <c r="B161" s="24"/>
      <c r="C161" s="24"/>
    </row>
    <row r="162" ht="13.1" spans="1:3">
      <c r="A162" s="24"/>
      <c r="B162" s="24"/>
      <c r="C162" s="24"/>
    </row>
    <row r="163" ht="13.1" spans="1:3">
      <c r="A163" s="24"/>
      <c r="B163" s="24"/>
      <c r="C163" s="24"/>
    </row>
    <row r="164" ht="13.1" spans="1:3">
      <c r="A164" s="24"/>
      <c r="B164" s="24"/>
      <c r="C164" s="24"/>
    </row>
    <row r="165" ht="13.1" spans="1:3">
      <c r="A165" s="24"/>
      <c r="B165" s="24"/>
      <c r="C165" s="24"/>
    </row>
    <row r="166" ht="13.1" spans="1:3">
      <c r="A166" s="24"/>
      <c r="B166" s="24"/>
      <c r="C166" s="24"/>
    </row>
    <row r="167" ht="13.1" spans="1:3">
      <c r="A167" s="24"/>
      <c r="B167" s="24"/>
      <c r="C167" s="24"/>
    </row>
    <row r="168" ht="13.1" spans="1:3">
      <c r="A168" s="24"/>
      <c r="B168" s="24"/>
      <c r="C168" s="24"/>
    </row>
    <row r="169" ht="13.1" spans="1:3">
      <c r="A169" s="24"/>
      <c r="B169" s="24"/>
      <c r="C169" s="24"/>
    </row>
    <row r="170" ht="13.1" spans="1:3">
      <c r="A170" s="24"/>
      <c r="B170" s="24"/>
      <c r="C170" s="24"/>
    </row>
    <row r="171" ht="13.1" spans="1:3">
      <c r="A171" s="24"/>
      <c r="B171" s="24"/>
      <c r="C171" s="24"/>
    </row>
    <row r="172" ht="13.1" spans="1:3">
      <c r="A172" s="24"/>
      <c r="B172" s="24"/>
      <c r="C172" s="24"/>
    </row>
    <row r="173" ht="13.1" spans="1:3">
      <c r="A173" s="24"/>
      <c r="B173" s="24"/>
      <c r="C173" s="24"/>
    </row>
    <row r="174" ht="13.1" spans="1:3">
      <c r="A174" s="24"/>
      <c r="B174" s="24"/>
      <c r="C174" s="24"/>
    </row>
    <row r="175" ht="13.1" spans="1:3">
      <c r="A175" s="24"/>
      <c r="B175" s="24"/>
      <c r="C175" s="24"/>
    </row>
    <row r="176" ht="13.1" spans="1:3">
      <c r="A176" s="24"/>
      <c r="B176" s="24"/>
      <c r="C176" s="24"/>
    </row>
    <row r="177" ht="13.1" spans="1:3">
      <c r="A177" s="24"/>
      <c r="B177" s="24"/>
      <c r="C177" s="24"/>
    </row>
    <row r="178" ht="13.1" spans="1:3">
      <c r="A178" s="24"/>
      <c r="B178" s="24"/>
      <c r="C178" s="24"/>
    </row>
    <row r="179" ht="13.1" spans="1:3">
      <c r="A179" s="24"/>
      <c r="B179" s="24"/>
      <c r="C179" s="24"/>
    </row>
    <row r="180" ht="13.1" spans="1:3">
      <c r="A180" s="24"/>
      <c r="B180" s="24"/>
      <c r="C180" s="24"/>
    </row>
    <row r="181" ht="13.1" spans="1:3">
      <c r="A181" s="24"/>
      <c r="B181" s="24"/>
      <c r="C181" s="24"/>
    </row>
    <row r="182" ht="13.1" spans="1:3">
      <c r="A182" s="24"/>
      <c r="B182" s="24"/>
      <c r="C182" s="24"/>
    </row>
    <row r="183" ht="13.1" spans="1:3">
      <c r="A183" s="24"/>
      <c r="B183" s="24"/>
      <c r="C183" s="24"/>
    </row>
    <row r="184" ht="13.1" spans="1:3">
      <c r="A184" s="24"/>
      <c r="B184" s="24"/>
      <c r="C184" s="24"/>
    </row>
    <row r="185" ht="13.1" spans="1:3">
      <c r="A185" s="24"/>
      <c r="B185" s="24"/>
      <c r="C185" s="24"/>
    </row>
    <row r="186" ht="13.1" spans="1:3">
      <c r="A186" s="24"/>
      <c r="B186" s="24"/>
      <c r="C186" s="24"/>
    </row>
    <row r="187" ht="13.1" spans="1:3">
      <c r="A187" s="24"/>
      <c r="B187" s="24"/>
      <c r="C187" s="24"/>
    </row>
    <row r="188" ht="13.1" spans="1:3">
      <c r="A188" s="24"/>
      <c r="B188" s="24"/>
      <c r="C188" s="24"/>
    </row>
    <row r="189" ht="13.1" spans="1:3">
      <c r="A189" s="24"/>
      <c r="B189" s="24"/>
      <c r="C189" s="24"/>
    </row>
    <row r="190" ht="13.1" spans="1:3">
      <c r="A190" s="24"/>
      <c r="B190" s="24"/>
      <c r="C190" s="24"/>
    </row>
    <row r="191" ht="13.1" spans="1:3">
      <c r="A191" s="24"/>
      <c r="B191" s="24"/>
      <c r="C191" s="24"/>
    </row>
    <row r="192" ht="13.1" spans="1:3">
      <c r="A192" s="24"/>
      <c r="B192" s="24"/>
      <c r="C192" s="24"/>
    </row>
    <row r="193" ht="13.1" spans="1:3">
      <c r="A193" s="24"/>
      <c r="B193" s="24"/>
      <c r="C193" s="24"/>
    </row>
    <row r="194" ht="13.1" spans="1:3">
      <c r="A194" s="24"/>
      <c r="B194" s="24"/>
      <c r="C194" s="24"/>
    </row>
    <row r="195" ht="13.1" spans="1:3">
      <c r="A195" s="24"/>
      <c r="B195" s="24"/>
      <c r="C195" s="24"/>
    </row>
    <row r="196" ht="13.1" spans="1:3">
      <c r="A196" s="24"/>
      <c r="B196" s="24"/>
      <c r="C196" s="24"/>
    </row>
    <row r="197" ht="13.1" spans="1:3">
      <c r="A197" s="24"/>
      <c r="B197" s="24"/>
      <c r="C197" s="24"/>
    </row>
    <row r="198" ht="13.1" spans="1:3">
      <c r="A198" s="24"/>
      <c r="B198" s="24"/>
      <c r="C198" s="24"/>
    </row>
    <row r="199" ht="13.1" spans="1:3">
      <c r="A199" s="24"/>
      <c r="B199" s="24"/>
      <c r="C199" s="24"/>
    </row>
    <row r="200" ht="13.1" spans="1:3">
      <c r="A200" s="24"/>
      <c r="B200" s="24"/>
      <c r="C200" s="24"/>
    </row>
    <row r="201" ht="13.1" spans="1:3">
      <c r="A201" s="24"/>
      <c r="B201" s="24"/>
      <c r="C201" s="24"/>
    </row>
    <row r="202" ht="13.1" spans="1:3">
      <c r="A202" s="24"/>
      <c r="B202" s="24"/>
      <c r="C202" s="24"/>
    </row>
    <row r="203" ht="13.1" spans="1:3">
      <c r="A203" s="24"/>
      <c r="B203" s="24"/>
      <c r="C203" s="24"/>
    </row>
    <row r="204" ht="13.1" spans="1:3">
      <c r="A204" s="24"/>
      <c r="B204" s="24"/>
      <c r="C204" s="24"/>
    </row>
    <row r="205" ht="13.1" spans="1:3">
      <c r="A205" s="24"/>
      <c r="B205" s="24"/>
      <c r="C205" s="24"/>
    </row>
    <row r="206" ht="13.1" spans="1:3">
      <c r="A206" s="24"/>
      <c r="B206" s="24"/>
      <c r="C206" s="24"/>
    </row>
    <row r="207" ht="13.1" spans="1:3">
      <c r="A207" s="24"/>
      <c r="B207" s="24"/>
      <c r="C207" s="24"/>
    </row>
    <row r="208" ht="13.1" spans="1:3">
      <c r="A208" s="24"/>
      <c r="B208" s="24"/>
      <c r="C208" s="24"/>
    </row>
    <row r="209" ht="13.1" spans="1:3">
      <c r="A209" s="24"/>
      <c r="B209" s="24"/>
      <c r="C209" s="24"/>
    </row>
    <row r="210" ht="13.1" spans="1:3">
      <c r="A210" s="24"/>
      <c r="B210" s="24"/>
      <c r="C210" s="24"/>
    </row>
    <row r="211" ht="13.1" spans="1:3">
      <c r="A211" s="24"/>
      <c r="B211" s="24"/>
      <c r="C211" s="24"/>
    </row>
    <row r="212" ht="13.1" spans="1:3">
      <c r="A212" s="24"/>
      <c r="B212" s="24"/>
      <c r="C212" s="24"/>
    </row>
    <row r="213" ht="13.1" spans="1:3">
      <c r="A213" s="24"/>
      <c r="B213" s="24"/>
      <c r="C213" s="24"/>
    </row>
    <row r="214" ht="13.1" spans="1:3">
      <c r="A214" s="24"/>
      <c r="B214" s="24"/>
      <c r="C214" s="24"/>
    </row>
    <row r="215" ht="13.1" spans="1:3">
      <c r="A215" s="24"/>
      <c r="B215" s="24"/>
      <c r="C215" s="24"/>
    </row>
    <row r="216" ht="13.1" spans="1:3">
      <c r="A216" s="24"/>
      <c r="B216" s="24"/>
      <c r="C216" s="24"/>
    </row>
    <row r="217" ht="13.1" spans="1:3">
      <c r="A217" s="24"/>
      <c r="B217" s="24"/>
      <c r="C217" s="24"/>
    </row>
    <row r="218" ht="13.1" spans="1:3">
      <c r="A218" s="24"/>
      <c r="B218" s="24"/>
      <c r="C218" s="24"/>
    </row>
    <row r="219" ht="13.1" spans="1:3">
      <c r="A219" s="24"/>
      <c r="B219" s="24"/>
      <c r="C219" s="24"/>
    </row>
    <row r="220" ht="13.1" spans="1:3">
      <c r="A220" s="24"/>
      <c r="B220" s="24"/>
      <c r="C220" s="24"/>
    </row>
    <row r="221" ht="13.1" spans="1:3">
      <c r="A221" s="24"/>
      <c r="B221" s="24"/>
      <c r="C221" s="24"/>
    </row>
    <row r="222" ht="13.1" spans="1:3">
      <c r="A222" s="24"/>
      <c r="B222" s="24"/>
      <c r="C222" s="24"/>
    </row>
    <row r="223" ht="13.1" spans="1:3">
      <c r="A223" s="24"/>
      <c r="B223" s="24"/>
      <c r="C223" s="24"/>
    </row>
    <row r="224" ht="13.1" spans="1:3">
      <c r="A224" s="24"/>
      <c r="B224" s="24"/>
      <c r="C224" s="24"/>
    </row>
    <row r="225" ht="13.1" spans="1:3">
      <c r="A225" s="24"/>
      <c r="B225" s="24"/>
      <c r="C225" s="24"/>
    </row>
    <row r="226" ht="13.1" spans="1:3">
      <c r="A226" s="24"/>
      <c r="B226" s="24"/>
      <c r="C226" s="24"/>
    </row>
    <row r="227" ht="13.1" spans="1:3">
      <c r="A227" s="24"/>
      <c r="B227" s="24"/>
      <c r="C227" s="24"/>
    </row>
    <row r="228" ht="13.1" spans="1:3">
      <c r="A228" s="24"/>
      <c r="B228" s="24"/>
      <c r="C228" s="24"/>
    </row>
    <row r="229" ht="13.1" spans="1:3">
      <c r="A229" s="24"/>
      <c r="B229" s="24"/>
      <c r="C229" s="24"/>
    </row>
    <row r="230" ht="13.1" spans="1:3">
      <c r="A230" s="24"/>
      <c r="B230" s="24"/>
      <c r="C230" s="24"/>
    </row>
    <row r="231" ht="13.1" spans="1:3">
      <c r="A231" s="24"/>
      <c r="B231" s="24"/>
      <c r="C231" s="24"/>
    </row>
    <row r="232" ht="13.1" spans="1:3">
      <c r="A232" s="24"/>
      <c r="B232" s="24"/>
      <c r="C232" s="24"/>
    </row>
    <row r="233" ht="13.1" spans="1:3">
      <c r="A233" s="24"/>
      <c r="B233" s="24"/>
      <c r="C233" s="24"/>
    </row>
    <row r="234" ht="13.1" spans="1:3">
      <c r="A234" s="24"/>
      <c r="B234" s="24"/>
      <c r="C234" s="24"/>
    </row>
    <row r="235" ht="13.1" spans="1:3">
      <c r="A235" s="24"/>
      <c r="B235" s="24"/>
      <c r="C235" s="24"/>
    </row>
    <row r="236" ht="13.1" spans="1:3">
      <c r="A236" s="24"/>
      <c r="B236" s="24"/>
      <c r="C236" s="24"/>
    </row>
    <row r="237" ht="13.1" spans="1:3">
      <c r="A237" s="24"/>
      <c r="B237" s="24"/>
      <c r="C237" s="24"/>
    </row>
    <row r="238" ht="13.1" spans="1:3">
      <c r="A238" s="24"/>
      <c r="B238" s="24"/>
      <c r="C238" s="24"/>
    </row>
    <row r="239" ht="13.1" spans="1:3">
      <c r="A239" s="24"/>
      <c r="B239" s="24"/>
      <c r="C239" s="24"/>
    </row>
    <row r="240" ht="13.1" spans="1:3">
      <c r="A240" s="24"/>
      <c r="B240" s="24"/>
      <c r="C240" s="24"/>
    </row>
    <row r="241" ht="13.1" spans="1:3">
      <c r="A241" s="24"/>
      <c r="B241" s="24"/>
      <c r="C241" s="24"/>
    </row>
    <row r="242" ht="13.1" spans="1:3">
      <c r="A242" s="24"/>
      <c r="B242" s="24"/>
      <c r="C242" s="24"/>
    </row>
    <row r="243" ht="13.1" spans="1:3">
      <c r="A243" s="24"/>
      <c r="B243" s="24"/>
      <c r="C243" s="24"/>
    </row>
    <row r="244" ht="13.1" spans="1:3">
      <c r="A244" s="24"/>
      <c r="B244" s="24"/>
      <c r="C244" s="24"/>
    </row>
    <row r="245" ht="13.1" spans="1:3">
      <c r="A245" s="24"/>
      <c r="B245" s="24"/>
      <c r="C245" s="24"/>
    </row>
    <row r="246" ht="13.1" spans="1:3">
      <c r="A246" s="24"/>
      <c r="B246" s="24"/>
      <c r="C246" s="24"/>
    </row>
    <row r="247" ht="13.1" spans="1:3">
      <c r="A247" s="24"/>
      <c r="B247" s="24"/>
      <c r="C247" s="24"/>
    </row>
    <row r="248" ht="13.1" spans="1:3">
      <c r="A248" s="24"/>
      <c r="B248" s="24"/>
      <c r="C248" s="24"/>
    </row>
    <row r="249" ht="13.1" spans="1:3">
      <c r="A249" s="24"/>
      <c r="B249" s="24"/>
      <c r="C249" s="24"/>
    </row>
    <row r="250" ht="13.1" spans="1:3">
      <c r="A250" s="24"/>
      <c r="B250" s="24"/>
      <c r="C250" s="24"/>
    </row>
    <row r="251" ht="13.1" spans="1:3">
      <c r="A251" s="24"/>
      <c r="B251" s="24"/>
      <c r="C251" s="24"/>
    </row>
    <row r="252" ht="13.1" spans="1:3">
      <c r="A252" s="24"/>
      <c r="B252" s="24"/>
      <c r="C252" s="24"/>
    </row>
    <row r="253" ht="13.1" spans="1:3">
      <c r="A253" s="24"/>
      <c r="B253" s="24"/>
      <c r="C253" s="24"/>
    </row>
    <row r="254" ht="13.1" spans="1:3">
      <c r="A254" s="24"/>
      <c r="B254" s="24"/>
      <c r="C254" s="24"/>
    </row>
    <row r="255" ht="13.1" spans="1:3">
      <c r="A255" s="24"/>
      <c r="B255" s="24"/>
      <c r="C255" s="24"/>
    </row>
    <row r="256" ht="13.1" spans="1:3">
      <c r="A256" s="24"/>
      <c r="B256" s="24"/>
      <c r="C256" s="24"/>
    </row>
    <row r="257" ht="13.1" spans="1:3">
      <c r="A257" s="24"/>
      <c r="B257" s="24"/>
      <c r="C257" s="24"/>
    </row>
    <row r="258" ht="13.1" spans="1:3">
      <c r="A258" s="24"/>
      <c r="B258" s="24"/>
      <c r="C258" s="24"/>
    </row>
    <row r="259" ht="13.1" spans="1:3">
      <c r="A259" s="24"/>
      <c r="B259" s="24"/>
      <c r="C259" s="24"/>
    </row>
    <row r="260" ht="13.1" spans="1:3">
      <c r="A260" s="24"/>
      <c r="B260" s="24"/>
      <c r="C260" s="24"/>
    </row>
    <row r="261" ht="13.1" spans="1:3">
      <c r="A261" s="24"/>
      <c r="B261" s="24"/>
      <c r="C261" s="24"/>
    </row>
    <row r="262" ht="13.1" spans="1:3">
      <c r="A262" s="24"/>
      <c r="B262" s="24"/>
      <c r="C262" s="24"/>
    </row>
    <row r="263" ht="13.1" spans="1:3">
      <c r="A263" s="24"/>
      <c r="B263" s="24"/>
      <c r="C263" s="24"/>
    </row>
    <row r="264" ht="13.1" spans="1:3">
      <c r="A264" s="24"/>
      <c r="B264" s="24"/>
      <c r="C264" s="24"/>
    </row>
    <row r="265" ht="13.1" spans="1:3">
      <c r="A265" s="24"/>
      <c r="B265" s="24"/>
      <c r="C265" s="24"/>
    </row>
    <row r="266" ht="13.1" spans="1:3">
      <c r="A266" s="24"/>
      <c r="B266" s="24"/>
      <c r="C266" s="24"/>
    </row>
    <row r="267" ht="13.1" spans="1:3">
      <c r="A267" s="24"/>
      <c r="B267" s="24"/>
      <c r="C267" s="24"/>
    </row>
    <row r="268" ht="13.1" spans="1:3">
      <c r="A268" s="24"/>
      <c r="B268" s="24"/>
      <c r="C268" s="24"/>
    </row>
    <row r="269" ht="13.1" spans="1:3">
      <c r="A269" s="24"/>
      <c r="B269" s="24"/>
      <c r="C269" s="24"/>
    </row>
    <row r="270" ht="13.1" spans="1:3">
      <c r="A270" s="24"/>
      <c r="B270" s="24"/>
      <c r="C270" s="24"/>
    </row>
    <row r="271" ht="13.1" spans="1:3">
      <c r="A271" s="24"/>
      <c r="B271" s="24"/>
      <c r="C271" s="24"/>
    </row>
    <row r="272" ht="13.1" spans="1:3">
      <c r="A272" s="24"/>
      <c r="B272" s="24"/>
      <c r="C272" s="24"/>
    </row>
    <row r="273" ht="13.1" spans="1:3">
      <c r="A273" s="24"/>
      <c r="B273" s="24"/>
      <c r="C273" s="24"/>
    </row>
    <row r="274" ht="13.1" spans="1:3">
      <c r="A274" s="24"/>
      <c r="B274" s="24"/>
      <c r="C274" s="24"/>
    </row>
    <row r="275" ht="13.1" spans="1:3">
      <c r="A275" s="24"/>
      <c r="B275" s="24"/>
      <c r="C275" s="24"/>
    </row>
    <row r="276" ht="13.1" spans="1:3">
      <c r="A276" s="24"/>
      <c r="B276" s="24"/>
      <c r="C276" s="24"/>
    </row>
    <row r="277" ht="13.1" spans="1:3">
      <c r="A277" s="24"/>
      <c r="B277" s="24"/>
      <c r="C277" s="24"/>
    </row>
    <row r="278" ht="13.1" spans="1:3">
      <c r="A278" s="24"/>
      <c r="B278" s="24"/>
      <c r="C278" s="24"/>
    </row>
    <row r="279" ht="13.1" spans="1:3">
      <c r="A279" s="24"/>
      <c r="B279" s="24"/>
      <c r="C279" s="24"/>
    </row>
    <row r="280" ht="13.1" spans="1:3">
      <c r="A280" s="24"/>
      <c r="B280" s="24"/>
      <c r="C280" s="24"/>
    </row>
    <row r="281" ht="13.1" spans="1:3">
      <c r="A281" s="24"/>
      <c r="B281" s="24"/>
      <c r="C281" s="24"/>
    </row>
    <row r="282" ht="13.1" spans="1:3">
      <c r="A282" s="24"/>
      <c r="B282" s="24"/>
      <c r="C282" s="24"/>
    </row>
    <row r="283" ht="13.1" spans="1:3">
      <c r="A283" s="24"/>
      <c r="B283" s="24"/>
      <c r="C283" s="24"/>
    </row>
    <row r="284" ht="13.1" spans="1:3">
      <c r="A284" s="24"/>
      <c r="B284" s="24"/>
      <c r="C284" s="24"/>
    </row>
    <row r="285" ht="13.1" spans="1:3">
      <c r="A285" s="24"/>
      <c r="B285" s="24"/>
      <c r="C285" s="24"/>
    </row>
    <row r="286" ht="13.1" spans="1:3">
      <c r="A286" s="24"/>
      <c r="B286" s="24"/>
      <c r="C286" s="24"/>
    </row>
    <row r="287" ht="13.1" spans="1:3">
      <c r="A287" s="24"/>
      <c r="B287" s="24"/>
      <c r="C287" s="24"/>
    </row>
    <row r="288" ht="13.1" spans="1:3">
      <c r="A288" s="24"/>
      <c r="B288" s="24"/>
      <c r="C288" s="24"/>
    </row>
    <row r="289" ht="13.1" spans="1:3">
      <c r="A289" s="24"/>
      <c r="B289" s="24"/>
      <c r="C289" s="24"/>
    </row>
    <row r="290" ht="13.1" spans="1:3">
      <c r="A290" s="24"/>
      <c r="B290" s="24"/>
      <c r="C290" s="24"/>
    </row>
    <row r="291" ht="13.1" spans="1:3">
      <c r="A291" s="24"/>
      <c r="B291" s="24"/>
      <c r="C291" s="24"/>
    </row>
    <row r="292" ht="13.1" spans="1:3">
      <c r="A292" s="24"/>
      <c r="B292" s="24"/>
      <c r="C292" s="24"/>
    </row>
    <row r="293" ht="13.1" spans="1:3">
      <c r="A293" s="24"/>
      <c r="B293" s="24"/>
      <c r="C293" s="24"/>
    </row>
    <row r="294" ht="13.1" spans="1:3">
      <c r="A294" s="24"/>
      <c r="B294" s="24"/>
      <c r="C294" s="24"/>
    </row>
    <row r="295" ht="13.1" spans="1:3">
      <c r="A295" s="24"/>
      <c r="B295" s="24"/>
      <c r="C295" s="24"/>
    </row>
    <row r="296" ht="13.1" spans="1:3">
      <c r="A296" s="24"/>
      <c r="B296" s="24"/>
      <c r="C296" s="24"/>
    </row>
    <row r="297" ht="13.1" spans="1:3">
      <c r="A297" s="24"/>
      <c r="B297" s="24"/>
      <c r="C297" s="24"/>
    </row>
    <row r="298" ht="13.1" spans="1:3">
      <c r="A298" s="24"/>
      <c r="B298" s="24"/>
      <c r="C298" s="24"/>
    </row>
    <row r="299" ht="13.1" spans="1:3">
      <c r="A299" s="24"/>
      <c r="B299" s="24"/>
      <c r="C299" s="24"/>
    </row>
    <row r="300" ht="13.1" spans="1:3">
      <c r="A300" s="24"/>
      <c r="B300" s="24"/>
      <c r="C300" s="24"/>
    </row>
    <row r="301" ht="13.1" spans="1:3">
      <c r="A301" s="24"/>
      <c r="B301" s="24"/>
      <c r="C301" s="24"/>
    </row>
    <row r="302" ht="13.1" spans="1:3">
      <c r="A302" s="24"/>
      <c r="B302" s="24"/>
      <c r="C302" s="24"/>
    </row>
    <row r="303" ht="13.1" spans="1:3">
      <c r="A303" s="24"/>
      <c r="B303" s="24"/>
      <c r="C303" s="24"/>
    </row>
    <row r="304" ht="13.1" spans="1:3">
      <c r="A304" s="24"/>
      <c r="B304" s="24"/>
      <c r="C304" s="24"/>
    </row>
    <row r="305" ht="13.1" spans="1:3">
      <c r="A305" s="24"/>
      <c r="B305" s="24"/>
      <c r="C305" s="24"/>
    </row>
    <row r="306" ht="13.1" spans="1:3">
      <c r="A306" s="24"/>
      <c r="B306" s="24"/>
      <c r="C306" s="24"/>
    </row>
    <row r="307" ht="13.1" spans="1:3">
      <c r="A307" s="24"/>
      <c r="B307" s="24"/>
      <c r="C307" s="24"/>
    </row>
    <row r="308" ht="13.1" spans="1:3">
      <c r="A308" s="24"/>
      <c r="B308" s="24"/>
      <c r="C308" s="24"/>
    </row>
    <row r="309" ht="13.1" spans="1:3">
      <c r="A309" s="24"/>
      <c r="B309" s="24"/>
      <c r="C309" s="24"/>
    </row>
    <row r="310" ht="13.1" spans="1:3">
      <c r="A310" s="24"/>
      <c r="B310" s="24"/>
      <c r="C310" s="24"/>
    </row>
    <row r="311" ht="13.1" spans="1:3">
      <c r="A311" s="24"/>
      <c r="B311" s="24"/>
      <c r="C311" s="24"/>
    </row>
    <row r="312" ht="13.1" spans="1:3">
      <c r="A312" s="24"/>
      <c r="B312" s="24"/>
      <c r="C312" s="24"/>
    </row>
    <row r="313" ht="13.1" spans="1:3">
      <c r="A313" s="24"/>
      <c r="B313" s="24"/>
      <c r="C313" s="24"/>
    </row>
    <row r="314" ht="13.1" spans="1:3">
      <c r="A314" s="24"/>
      <c r="B314" s="24"/>
      <c r="C314" s="24"/>
    </row>
    <row r="315" ht="13.1" spans="1:3">
      <c r="A315" s="24"/>
      <c r="B315" s="24"/>
      <c r="C315" s="24"/>
    </row>
    <row r="316" ht="13.1" spans="1:3">
      <c r="A316" s="24"/>
      <c r="B316" s="24"/>
      <c r="C316" s="24"/>
    </row>
    <row r="317" ht="13.1" spans="1:3">
      <c r="A317" s="24"/>
      <c r="B317" s="24"/>
      <c r="C317" s="24"/>
    </row>
    <row r="318" ht="13.1" spans="1:3">
      <c r="A318" s="24"/>
      <c r="B318" s="24"/>
      <c r="C318" s="24"/>
    </row>
    <row r="319" ht="13.1" spans="1:3">
      <c r="A319" s="24"/>
      <c r="B319" s="24"/>
      <c r="C319" s="24"/>
    </row>
    <row r="320" ht="13.1" spans="1:3">
      <c r="A320" s="24"/>
      <c r="B320" s="24"/>
      <c r="C320" s="24"/>
    </row>
    <row r="321" ht="13.1" spans="1:3">
      <c r="A321" s="24"/>
      <c r="B321" s="24"/>
      <c r="C321" s="24"/>
    </row>
    <row r="322" ht="13.1" spans="1:3">
      <c r="A322" s="24"/>
      <c r="B322" s="24"/>
      <c r="C322" s="24"/>
    </row>
    <row r="323" ht="13.1" spans="1:3">
      <c r="A323" s="24"/>
      <c r="B323" s="24"/>
      <c r="C323" s="24"/>
    </row>
    <row r="324" ht="13.1" spans="1:3">
      <c r="A324" s="24"/>
      <c r="B324" s="24"/>
      <c r="C324" s="24"/>
    </row>
    <row r="325" ht="13.1" spans="1:3">
      <c r="A325" s="24"/>
      <c r="B325" s="24"/>
      <c r="C325" s="24"/>
    </row>
    <row r="326" ht="13.1" spans="1:3">
      <c r="A326" s="24"/>
      <c r="B326" s="24"/>
      <c r="C326" s="24"/>
    </row>
    <row r="327" ht="13.1" spans="1:3">
      <c r="A327" s="24"/>
      <c r="B327" s="24"/>
      <c r="C327" s="24"/>
    </row>
    <row r="328" ht="13.1" spans="1:3">
      <c r="A328" s="24"/>
      <c r="B328" s="24"/>
      <c r="C328" s="24"/>
    </row>
    <row r="329" ht="13.1" spans="1:3">
      <c r="A329" s="24"/>
      <c r="B329" s="24"/>
      <c r="C329" s="24"/>
    </row>
    <row r="330" ht="13.1" spans="1:3">
      <c r="A330" s="24"/>
      <c r="B330" s="24"/>
      <c r="C330" s="24"/>
    </row>
    <row r="331" ht="13.1" spans="1:3">
      <c r="A331" s="24"/>
      <c r="B331" s="24"/>
      <c r="C331" s="24"/>
    </row>
    <row r="332" ht="13.1" spans="1:3">
      <c r="A332" s="24"/>
      <c r="B332" s="24"/>
      <c r="C332" s="24"/>
    </row>
    <row r="333" ht="13.1" spans="1:3">
      <c r="A333" s="24"/>
      <c r="B333" s="24"/>
      <c r="C333" s="24"/>
    </row>
    <row r="334" ht="13.1" spans="1:3">
      <c r="A334" s="24"/>
      <c r="B334" s="24"/>
      <c r="C334" s="24"/>
    </row>
    <row r="335" ht="13.1" spans="1:3">
      <c r="A335" s="24"/>
      <c r="B335" s="24"/>
      <c r="C335" s="24"/>
    </row>
    <row r="336" ht="13.1" spans="1:3">
      <c r="A336" s="24"/>
      <c r="B336" s="24"/>
      <c r="C336" s="24"/>
    </row>
    <row r="337" ht="13.1" spans="1:3">
      <c r="A337" s="24"/>
      <c r="B337" s="24"/>
      <c r="C337" s="24"/>
    </row>
    <row r="338" ht="13.1" spans="1:3">
      <c r="A338" s="24"/>
      <c r="B338" s="24"/>
      <c r="C338" s="24"/>
    </row>
    <row r="339" ht="13.1" spans="1:3">
      <c r="A339" s="24"/>
      <c r="B339" s="24"/>
      <c r="C339" s="24"/>
    </row>
    <row r="340" ht="13.1" spans="1:3">
      <c r="A340" s="24"/>
      <c r="B340" s="24"/>
      <c r="C340" s="24"/>
    </row>
    <row r="341" ht="13.1" spans="1:3">
      <c r="A341" s="24"/>
      <c r="B341" s="24"/>
      <c r="C341" s="24"/>
    </row>
    <row r="342" ht="13.1" spans="1:3">
      <c r="A342" s="24"/>
      <c r="B342" s="24"/>
      <c r="C342" s="24"/>
    </row>
    <row r="343" ht="13.1" spans="1:3">
      <c r="A343" s="24"/>
      <c r="B343" s="24"/>
      <c r="C343" s="24"/>
    </row>
    <row r="344" ht="13.1" spans="1:3">
      <c r="A344" s="24"/>
      <c r="B344" s="24"/>
      <c r="C344" s="24"/>
    </row>
    <row r="345" ht="13.1" spans="1:3">
      <c r="A345" s="24"/>
      <c r="B345" s="24"/>
      <c r="C345" s="24"/>
    </row>
    <row r="346" ht="13.1" spans="1:3">
      <c r="A346" s="24"/>
      <c r="B346" s="24"/>
      <c r="C346" s="24"/>
    </row>
    <row r="347" ht="13.1" spans="1:3">
      <c r="A347" s="24"/>
      <c r="B347" s="24"/>
      <c r="C347" s="24"/>
    </row>
    <row r="348" ht="13.1" spans="1:3">
      <c r="A348" s="24"/>
      <c r="B348" s="24"/>
      <c r="C348" s="24"/>
    </row>
    <row r="349" ht="13.1" spans="1:3">
      <c r="A349" s="24"/>
      <c r="B349" s="24"/>
      <c r="C349" s="24"/>
    </row>
    <row r="350" ht="13.1" spans="1:3">
      <c r="A350" s="24"/>
      <c r="B350" s="24"/>
      <c r="C350" s="24"/>
    </row>
    <row r="351" ht="13.1" spans="1:3">
      <c r="A351" s="24"/>
      <c r="B351" s="24"/>
      <c r="C351" s="24"/>
    </row>
    <row r="352" ht="13.1" spans="1:3">
      <c r="A352" s="24"/>
      <c r="B352" s="24"/>
      <c r="C352" s="24"/>
    </row>
    <row r="353" ht="13.1" spans="1:3">
      <c r="A353" s="24"/>
      <c r="B353" s="24"/>
      <c r="C353" s="24"/>
    </row>
    <row r="354" ht="13.1" spans="1:3">
      <c r="A354" s="24"/>
      <c r="B354" s="24"/>
      <c r="C354" s="24"/>
    </row>
    <row r="355" ht="13.1" spans="1:3">
      <c r="A355" s="24"/>
      <c r="B355" s="24"/>
      <c r="C355" s="24"/>
    </row>
    <row r="356" ht="13.1" spans="1:3">
      <c r="A356" s="24"/>
      <c r="B356" s="24"/>
      <c r="C356" s="24"/>
    </row>
    <row r="357" ht="13.1" spans="1:3">
      <c r="A357" s="24"/>
      <c r="B357" s="24"/>
      <c r="C357" s="24"/>
    </row>
    <row r="358" ht="13.1" spans="1:3">
      <c r="A358" s="24"/>
      <c r="B358" s="24"/>
      <c r="C358" s="24"/>
    </row>
    <row r="359" ht="13.1" spans="1:3">
      <c r="A359" s="24"/>
      <c r="B359" s="24"/>
      <c r="C359" s="24"/>
    </row>
    <row r="360" ht="13.1" spans="1:3">
      <c r="A360" s="24"/>
      <c r="B360" s="24"/>
      <c r="C360" s="24"/>
    </row>
    <row r="361" ht="13.1" spans="1:3">
      <c r="A361" s="24"/>
      <c r="B361" s="24"/>
      <c r="C361" s="24"/>
    </row>
    <row r="362" ht="13.1" spans="1:3">
      <c r="A362" s="24"/>
      <c r="B362" s="24"/>
      <c r="C362" s="24"/>
    </row>
    <row r="363" ht="13.1" spans="1:3">
      <c r="A363" s="24"/>
      <c r="B363" s="24"/>
      <c r="C363" s="24"/>
    </row>
    <row r="364" ht="13.1" spans="1:3">
      <c r="A364" s="24"/>
      <c r="B364" s="24"/>
      <c r="C364" s="24"/>
    </row>
    <row r="365" ht="13.1" spans="1:3">
      <c r="A365" s="24"/>
      <c r="B365" s="24"/>
      <c r="C365" s="24"/>
    </row>
    <row r="366" ht="13.1" spans="1:3">
      <c r="A366" s="24"/>
      <c r="B366" s="24"/>
      <c r="C366" s="24"/>
    </row>
    <row r="367" ht="13.1" spans="1:3">
      <c r="A367" s="24"/>
      <c r="B367" s="24"/>
      <c r="C367" s="24"/>
    </row>
    <row r="368" ht="13.1" spans="1:3">
      <c r="A368" s="24"/>
      <c r="B368" s="24"/>
      <c r="C368" s="24"/>
    </row>
    <row r="369" ht="13.1" spans="1:3">
      <c r="A369" s="24"/>
      <c r="B369" s="24"/>
      <c r="C369" s="24"/>
    </row>
    <row r="370" ht="13.1" spans="1:3">
      <c r="A370" s="24"/>
      <c r="B370" s="24"/>
      <c r="C370" s="24"/>
    </row>
    <row r="371" ht="13.1" spans="1:3">
      <c r="A371" s="24"/>
      <c r="B371" s="24"/>
      <c r="C371" s="24"/>
    </row>
    <row r="372" ht="13.1" spans="1:3">
      <c r="A372" s="24"/>
      <c r="B372" s="24"/>
      <c r="C372" s="24"/>
    </row>
    <row r="373" ht="13.1" spans="1:3">
      <c r="A373" s="24"/>
      <c r="B373" s="24"/>
      <c r="C373" s="24"/>
    </row>
    <row r="374" ht="13.1" spans="1:3">
      <c r="A374" s="24"/>
      <c r="B374" s="24"/>
      <c r="C374" s="24"/>
    </row>
    <row r="375" ht="13.1" spans="1:3">
      <c r="A375" s="24"/>
      <c r="B375" s="24"/>
      <c r="C375" s="24"/>
    </row>
    <row r="376" ht="13.1" spans="1:3">
      <c r="A376" s="24"/>
      <c r="B376" s="24"/>
      <c r="C376" s="24"/>
    </row>
    <row r="377" ht="13.1" spans="1:3">
      <c r="A377" s="24"/>
      <c r="B377" s="24"/>
      <c r="C377" s="24"/>
    </row>
    <row r="378" ht="13.1" spans="1:3">
      <c r="A378" s="24"/>
      <c r="B378" s="24"/>
      <c r="C378" s="24"/>
    </row>
    <row r="379" ht="13.1" spans="1:3">
      <c r="A379" s="24"/>
      <c r="B379" s="24"/>
      <c r="C379" s="24"/>
    </row>
    <row r="380" ht="13.1" spans="1:3">
      <c r="A380" s="24"/>
      <c r="B380" s="24"/>
      <c r="C380" s="24"/>
    </row>
    <row r="381" ht="13.1" spans="1:3">
      <c r="A381" s="24"/>
      <c r="B381" s="24"/>
      <c r="C381" s="24"/>
    </row>
    <row r="382" ht="13.1" spans="1:3">
      <c r="A382" s="24"/>
      <c r="B382" s="24"/>
      <c r="C382" s="24"/>
    </row>
    <row r="383" ht="13.1" spans="1:3">
      <c r="A383" s="24"/>
      <c r="B383" s="24"/>
      <c r="C383" s="24"/>
    </row>
    <row r="384" ht="13.1" spans="1:3">
      <c r="A384" s="24"/>
      <c r="B384" s="24"/>
      <c r="C384" s="24"/>
    </row>
    <row r="385" ht="13.1" spans="1:3">
      <c r="A385" s="24"/>
      <c r="B385" s="24"/>
      <c r="C385" s="24"/>
    </row>
    <row r="386" ht="13.1" spans="1:3">
      <c r="A386" s="24"/>
      <c r="B386" s="24"/>
      <c r="C386" s="24"/>
    </row>
    <row r="387" ht="13.1" spans="1:3">
      <c r="A387" s="24"/>
      <c r="B387" s="24"/>
      <c r="C387" s="24"/>
    </row>
    <row r="388" ht="13.1" spans="1:3">
      <c r="A388" s="24"/>
      <c r="B388" s="24"/>
      <c r="C388" s="24"/>
    </row>
    <row r="389" ht="13.1" spans="1:3">
      <c r="A389" s="24"/>
      <c r="B389" s="24"/>
      <c r="C389" s="24"/>
    </row>
    <row r="390" ht="13.1" spans="1:3">
      <c r="A390" s="24"/>
      <c r="B390" s="24"/>
      <c r="C390" s="24"/>
    </row>
    <row r="391" ht="13.1" spans="1:3">
      <c r="A391" s="24"/>
      <c r="B391" s="24"/>
      <c r="C391" s="24"/>
    </row>
    <row r="392" ht="13.1" spans="1:3">
      <c r="A392" s="24"/>
      <c r="B392" s="24"/>
      <c r="C392" s="24"/>
    </row>
    <row r="393" ht="13.1" spans="1:3">
      <c r="A393" s="24"/>
      <c r="B393" s="24"/>
      <c r="C393" s="24"/>
    </row>
    <row r="394" ht="13.1" spans="1:3">
      <c r="A394" s="24"/>
      <c r="B394" s="24"/>
      <c r="C394" s="24"/>
    </row>
    <row r="395" ht="13.1" spans="1:3">
      <c r="A395" s="24"/>
      <c r="B395" s="24"/>
      <c r="C395" s="24"/>
    </row>
    <row r="396" ht="13.1" spans="1:3">
      <c r="A396" s="24"/>
      <c r="B396" s="24"/>
      <c r="C396" s="24"/>
    </row>
    <row r="397" ht="13.1" spans="1:3">
      <c r="A397" s="24"/>
      <c r="B397" s="24"/>
      <c r="C397" s="24"/>
    </row>
    <row r="398" ht="13.1" spans="1:3">
      <c r="A398" s="24"/>
      <c r="B398" s="24"/>
      <c r="C398" s="24"/>
    </row>
    <row r="399" ht="13.1" spans="1:3">
      <c r="A399" s="24"/>
      <c r="B399" s="24"/>
      <c r="C399" s="24"/>
    </row>
    <row r="400" ht="13.1" spans="1:3">
      <c r="A400" s="24"/>
      <c r="B400" s="24"/>
      <c r="C400" s="24"/>
    </row>
    <row r="401" ht="13.1" spans="1:3">
      <c r="A401" s="24"/>
      <c r="B401" s="24"/>
      <c r="C401" s="24"/>
    </row>
    <row r="402" ht="13.1" spans="1:3">
      <c r="A402" s="24"/>
      <c r="B402" s="24"/>
      <c r="C402" s="24"/>
    </row>
    <row r="403" ht="13.1" spans="1:3">
      <c r="A403" s="24"/>
      <c r="B403" s="24"/>
      <c r="C403" s="24"/>
    </row>
    <row r="404" ht="13.1" spans="1:3">
      <c r="A404" s="24"/>
      <c r="B404" s="24"/>
      <c r="C404" s="24"/>
    </row>
    <row r="405" ht="13.1" spans="1:3">
      <c r="A405" s="24"/>
      <c r="B405" s="24"/>
      <c r="C405" s="24"/>
    </row>
    <row r="406" ht="13.1" spans="1:3">
      <c r="A406" s="24"/>
      <c r="B406" s="24"/>
      <c r="C406" s="24"/>
    </row>
    <row r="407" ht="13.1" spans="1:3">
      <c r="A407" s="24"/>
      <c r="B407" s="24"/>
      <c r="C407" s="24"/>
    </row>
    <row r="408" ht="13.1" spans="1:3">
      <c r="A408" s="24"/>
      <c r="B408" s="24"/>
      <c r="C408" s="24"/>
    </row>
    <row r="409" ht="13.1" spans="1:3">
      <c r="A409" s="24"/>
      <c r="B409" s="24"/>
      <c r="C409" s="24"/>
    </row>
    <row r="410" ht="13.1" spans="1:3">
      <c r="A410" s="24"/>
      <c r="B410" s="24"/>
      <c r="C410" s="24"/>
    </row>
    <row r="411" ht="13.1" spans="1:3">
      <c r="A411" s="24"/>
      <c r="B411" s="24"/>
      <c r="C411" s="24"/>
    </row>
    <row r="412" ht="13.1" spans="1:3">
      <c r="A412" s="24"/>
      <c r="B412" s="24"/>
      <c r="C412" s="24"/>
    </row>
    <row r="413" ht="13.1" spans="1:3">
      <c r="A413" s="24"/>
      <c r="B413" s="24"/>
      <c r="C413" s="24"/>
    </row>
    <row r="414" ht="13.1" spans="1:3">
      <c r="A414" s="24"/>
      <c r="B414" s="24"/>
      <c r="C414" s="24"/>
    </row>
    <row r="415" ht="13.1" spans="1:3">
      <c r="A415" s="24"/>
      <c r="B415" s="24"/>
      <c r="C415" s="24"/>
    </row>
    <row r="416" ht="13.1" spans="1:3">
      <c r="A416" s="24"/>
      <c r="B416" s="24"/>
      <c r="C416" s="24"/>
    </row>
    <row r="417" ht="13.1" spans="1:3">
      <c r="A417" s="24"/>
      <c r="B417" s="24"/>
      <c r="C417" s="24"/>
    </row>
    <row r="418" ht="13.1" spans="1:3">
      <c r="A418" s="24"/>
      <c r="B418" s="24"/>
      <c r="C418" s="24"/>
    </row>
    <row r="419" ht="13.1" spans="1:3">
      <c r="A419" s="24"/>
      <c r="B419" s="24"/>
      <c r="C419" s="24"/>
    </row>
    <row r="420" ht="13.1" spans="1:3">
      <c r="A420" s="24"/>
      <c r="B420" s="24"/>
      <c r="C420" s="24"/>
    </row>
    <row r="421" ht="13.1" spans="1:3">
      <c r="A421" s="24"/>
      <c r="B421" s="24"/>
      <c r="C421" s="24"/>
    </row>
    <row r="422" ht="13.1" spans="1:3">
      <c r="A422" s="24"/>
      <c r="B422" s="24"/>
      <c r="C422" s="24"/>
    </row>
    <row r="423" ht="13.1" spans="1:3">
      <c r="A423" s="24"/>
      <c r="B423" s="24"/>
      <c r="C423" s="24"/>
    </row>
    <row r="424" ht="13.1" spans="1:3">
      <c r="A424" s="24"/>
      <c r="B424" s="24"/>
      <c r="C424" s="24"/>
    </row>
    <row r="425" ht="13.1" spans="1:3">
      <c r="A425" s="24"/>
      <c r="B425" s="24"/>
      <c r="C425" s="24"/>
    </row>
    <row r="426" ht="13.1" spans="1:3">
      <c r="A426" s="24"/>
      <c r="B426" s="24"/>
      <c r="C426" s="24"/>
    </row>
    <row r="427" ht="13.1" spans="1:3">
      <c r="A427" s="24"/>
      <c r="B427" s="24"/>
      <c r="C427" s="24"/>
    </row>
    <row r="428" ht="13.1" spans="1:3">
      <c r="A428" s="24"/>
      <c r="B428" s="24"/>
      <c r="C428" s="24"/>
    </row>
    <row r="429" ht="13.1" spans="1:3">
      <c r="A429" s="24"/>
      <c r="B429" s="24"/>
      <c r="C429" s="24"/>
    </row>
    <row r="430" ht="13.1" spans="1:3">
      <c r="A430" s="24"/>
      <c r="B430" s="24"/>
      <c r="C430" s="24"/>
    </row>
    <row r="431" ht="13.1" spans="1:3">
      <c r="A431" s="24"/>
      <c r="B431" s="24"/>
      <c r="C431" s="24"/>
    </row>
    <row r="432" ht="13.1" spans="1:3">
      <c r="A432" s="24"/>
      <c r="B432" s="24"/>
      <c r="C432" s="24"/>
    </row>
    <row r="433" ht="13.1" spans="1:3">
      <c r="A433" s="24"/>
      <c r="B433" s="24"/>
      <c r="C433" s="24"/>
    </row>
    <row r="434" ht="13.1" spans="1:3">
      <c r="A434" s="24"/>
      <c r="B434" s="24"/>
      <c r="C434" s="24"/>
    </row>
    <row r="435" ht="13.1" spans="1:3">
      <c r="A435" s="24"/>
      <c r="B435" s="24"/>
      <c r="C435" s="24"/>
    </row>
    <row r="436" ht="13.1" spans="1:3">
      <c r="A436" s="24"/>
      <c r="B436" s="24"/>
      <c r="C436" s="24"/>
    </row>
    <row r="437" ht="13.1" spans="1:3">
      <c r="A437" s="24"/>
      <c r="B437" s="24"/>
      <c r="C437" s="24"/>
    </row>
    <row r="438" ht="13.1" spans="1:3">
      <c r="A438" s="24"/>
      <c r="B438" s="24"/>
      <c r="C438" s="24"/>
    </row>
    <row r="439" ht="13.1" spans="1:3">
      <c r="A439" s="24"/>
      <c r="B439" s="24"/>
      <c r="C439" s="24"/>
    </row>
    <row r="440" ht="13.1" spans="1:3">
      <c r="A440" s="24"/>
      <c r="B440" s="24"/>
      <c r="C440" s="24"/>
    </row>
    <row r="441" ht="13.1" spans="1:3">
      <c r="A441" s="24"/>
      <c r="B441" s="24"/>
      <c r="C441" s="24"/>
    </row>
    <row r="442" ht="13.1" spans="1:3">
      <c r="A442" s="24"/>
      <c r="B442" s="24"/>
      <c r="C442" s="24"/>
    </row>
    <row r="443" ht="13.1" spans="1:3">
      <c r="A443" s="24"/>
      <c r="B443" s="24"/>
      <c r="C443" s="24"/>
    </row>
    <row r="444" ht="13.1" spans="1:3">
      <c r="A444" s="24"/>
      <c r="B444" s="24"/>
      <c r="C444" s="24"/>
    </row>
    <row r="445" ht="13.1" spans="1:3">
      <c r="A445" s="24"/>
      <c r="B445" s="24"/>
      <c r="C445" s="24"/>
    </row>
    <row r="446" ht="13.1" spans="1:3">
      <c r="A446" s="24"/>
      <c r="B446" s="24"/>
      <c r="C446" s="24"/>
    </row>
    <row r="447" ht="13.1" spans="1:3">
      <c r="A447" s="24"/>
      <c r="B447" s="24"/>
      <c r="C447" s="24"/>
    </row>
    <row r="448" ht="13.1" spans="1:3">
      <c r="A448" s="24"/>
      <c r="B448" s="24"/>
      <c r="C448" s="24"/>
    </row>
    <row r="449" ht="13.1" spans="1:3">
      <c r="A449" s="24"/>
      <c r="B449" s="24"/>
      <c r="C449" s="24"/>
    </row>
    <row r="450" ht="13.1" spans="1:3">
      <c r="A450" s="24"/>
      <c r="B450" s="24"/>
      <c r="C450" s="24"/>
    </row>
    <row r="451" ht="13.1" spans="1:3">
      <c r="A451" s="24"/>
      <c r="B451" s="24"/>
      <c r="C451" s="24"/>
    </row>
    <row r="452" ht="13.1" spans="1:3">
      <c r="A452" s="24"/>
      <c r="B452" s="24"/>
      <c r="C452" s="24"/>
    </row>
    <row r="453" ht="13.1" spans="1:3">
      <c r="A453" s="24"/>
      <c r="B453" s="24"/>
      <c r="C453" s="24"/>
    </row>
    <row r="454" ht="13.1" spans="1:3">
      <c r="A454" s="24"/>
      <c r="B454" s="24"/>
      <c r="C454" s="24"/>
    </row>
    <row r="455" ht="13.1" spans="1:3">
      <c r="A455" s="24"/>
      <c r="B455" s="24"/>
      <c r="C455" s="24"/>
    </row>
    <row r="456" ht="13.1" spans="1:3">
      <c r="A456" s="24"/>
      <c r="B456" s="24"/>
      <c r="C456" s="24"/>
    </row>
    <row r="457" ht="13.1" spans="1:3">
      <c r="A457" s="24"/>
      <c r="B457" s="24"/>
      <c r="C457" s="24"/>
    </row>
    <row r="458" ht="13.1" spans="1:3">
      <c r="A458" s="24"/>
      <c r="B458" s="24"/>
      <c r="C458" s="24"/>
    </row>
    <row r="459" ht="13.1" spans="1:3">
      <c r="A459" s="24"/>
      <c r="B459" s="24"/>
      <c r="C459" s="24"/>
    </row>
    <row r="460" ht="13.1" spans="1:3">
      <c r="A460" s="24"/>
      <c r="B460" s="24"/>
      <c r="C460" s="24"/>
    </row>
    <row r="461" ht="13.1" spans="1:3">
      <c r="A461" s="24"/>
      <c r="B461" s="24"/>
      <c r="C461" s="24"/>
    </row>
    <row r="462" ht="13.1" spans="1:3">
      <c r="A462" s="24"/>
      <c r="B462" s="24"/>
      <c r="C462" s="24"/>
    </row>
    <row r="463" ht="13.1" spans="1:3">
      <c r="A463" s="24"/>
      <c r="B463" s="24"/>
      <c r="C463" s="24"/>
    </row>
    <row r="464" ht="13.1" spans="1:3">
      <c r="A464" s="24"/>
      <c r="B464" s="24"/>
      <c r="C464" s="24"/>
    </row>
    <row r="465" ht="13.1" spans="1:3">
      <c r="A465" s="24"/>
      <c r="B465" s="24"/>
      <c r="C465" s="24"/>
    </row>
    <row r="466" ht="13.1" spans="1:3">
      <c r="A466" s="24"/>
      <c r="B466" s="24"/>
      <c r="C466" s="24"/>
    </row>
    <row r="467" ht="13.1" spans="1:3">
      <c r="A467" s="24"/>
      <c r="B467" s="24"/>
      <c r="C467" s="24"/>
    </row>
    <row r="468" ht="13.1" spans="1:3">
      <c r="A468" s="24"/>
      <c r="B468" s="24"/>
      <c r="C468" s="24"/>
    </row>
    <row r="469" ht="13.1" spans="1:3">
      <c r="A469" s="24"/>
      <c r="B469" s="24"/>
      <c r="C469" s="24"/>
    </row>
    <row r="470" ht="13.1" spans="1:3">
      <c r="A470" s="24"/>
      <c r="B470" s="24"/>
      <c r="C470" s="24"/>
    </row>
    <row r="471" ht="13.1" spans="1:3">
      <c r="A471" s="24"/>
      <c r="B471" s="24"/>
      <c r="C471" s="24"/>
    </row>
    <row r="472" ht="13.1" spans="1:3">
      <c r="A472" s="24"/>
      <c r="B472" s="24"/>
      <c r="C472" s="24"/>
    </row>
    <row r="473" ht="13.1" spans="1:3">
      <c r="A473" s="24"/>
      <c r="B473" s="24"/>
      <c r="C473" s="24"/>
    </row>
    <row r="474" ht="13.1" spans="1:3">
      <c r="A474" s="24"/>
      <c r="B474" s="24"/>
      <c r="C474" s="24"/>
    </row>
    <row r="475" ht="13.1" spans="1:3">
      <c r="A475" s="24"/>
      <c r="B475" s="24"/>
      <c r="C475" s="24"/>
    </row>
    <row r="476" ht="13.1" spans="1:3">
      <c r="A476" s="24"/>
      <c r="B476" s="24"/>
      <c r="C476" s="24"/>
    </row>
    <row r="477" ht="13.1" spans="1:3">
      <c r="A477" s="24"/>
      <c r="B477" s="24"/>
      <c r="C477" s="24"/>
    </row>
    <row r="478" ht="13.1" spans="1:3">
      <c r="A478" s="24"/>
      <c r="B478" s="24"/>
      <c r="C478" s="24"/>
    </row>
    <row r="479" ht="13.1" spans="1:3">
      <c r="A479" s="24"/>
      <c r="B479" s="24"/>
      <c r="C479" s="24"/>
    </row>
    <row r="480" ht="13.1" spans="1:3">
      <c r="A480" s="24"/>
      <c r="B480" s="24"/>
      <c r="C480" s="24"/>
    </row>
    <row r="481" ht="13.1" spans="1:3">
      <c r="A481" s="24"/>
      <c r="B481" s="24"/>
      <c r="C481" s="24"/>
    </row>
    <row r="482" ht="13.1" spans="1:3">
      <c r="A482" s="24"/>
      <c r="B482" s="24"/>
      <c r="C482" s="24"/>
    </row>
    <row r="483" ht="13.1" spans="1:3">
      <c r="A483" s="24"/>
      <c r="B483" s="24"/>
      <c r="C483" s="24"/>
    </row>
    <row r="484" ht="13.1" spans="1:3">
      <c r="A484" s="24"/>
      <c r="B484" s="24"/>
      <c r="C484" s="24"/>
    </row>
    <row r="485" ht="13.1" spans="1:3">
      <c r="A485" s="24"/>
      <c r="B485" s="24"/>
      <c r="C485" s="24"/>
    </row>
    <row r="486" ht="13.1" spans="1:3">
      <c r="A486" s="24"/>
      <c r="B486" s="24"/>
      <c r="C486" s="24"/>
    </row>
    <row r="487" ht="13.1" spans="1:3">
      <c r="A487" s="24"/>
      <c r="B487" s="24"/>
      <c r="C487" s="24"/>
    </row>
    <row r="488" ht="13.1" spans="1:3">
      <c r="A488" s="24"/>
      <c r="B488" s="24"/>
      <c r="C488" s="24"/>
    </row>
    <row r="489" ht="13.1" spans="1:3">
      <c r="A489" s="24"/>
      <c r="B489" s="24"/>
      <c r="C489" s="24"/>
    </row>
    <row r="490" ht="13.1" spans="1:3">
      <c r="A490" s="24"/>
      <c r="B490" s="24"/>
      <c r="C490" s="24"/>
    </row>
    <row r="491" ht="13.1" spans="1:3">
      <c r="A491" s="24"/>
      <c r="B491" s="24"/>
      <c r="C491" s="24"/>
    </row>
    <row r="492" ht="13.1" spans="1:3">
      <c r="A492" s="24"/>
      <c r="B492" s="24"/>
      <c r="C492" s="24"/>
    </row>
    <row r="493" ht="13.1" spans="1:3">
      <c r="A493" s="24"/>
      <c r="B493" s="24"/>
      <c r="C493" s="24"/>
    </row>
    <row r="494" ht="13.1" spans="1:3">
      <c r="A494" s="24"/>
      <c r="B494" s="24"/>
      <c r="C494" s="24"/>
    </row>
    <row r="495" ht="13.1" spans="1:3">
      <c r="A495" s="24"/>
      <c r="B495" s="24"/>
      <c r="C495" s="24"/>
    </row>
    <row r="496" ht="13.1" spans="1:3">
      <c r="A496" s="24"/>
      <c r="B496" s="24"/>
      <c r="C496" s="24"/>
    </row>
    <row r="497" ht="13.1" spans="1:3">
      <c r="A497" s="24"/>
      <c r="B497" s="24"/>
      <c r="C497" s="24"/>
    </row>
    <row r="498" ht="13.1" spans="1:3">
      <c r="A498" s="24"/>
      <c r="B498" s="24"/>
      <c r="C498" s="24"/>
    </row>
    <row r="499" ht="13.1" spans="1:3">
      <c r="A499" s="24"/>
      <c r="B499" s="24"/>
      <c r="C499" s="24"/>
    </row>
    <row r="500" ht="13.1" spans="1:3">
      <c r="A500" s="24"/>
      <c r="B500" s="24"/>
      <c r="C500" s="24"/>
    </row>
    <row r="501" ht="13.1" spans="1:3">
      <c r="A501" s="24"/>
      <c r="B501" s="24"/>
      <c r="C501" s="24"/>
    </row>
    <row r="502" ht="13.1" spans="1:3">
      <c r="A502" s="24"/>
      <c r="B502" s="24"/>
      <c r="C502" s="24"/>
    </row>
    <row r="503" ht="13.1" spans="1:3">
      <c r="A503" s="24"/>
      <c r="B503" s="24"/>
      <c r="C503" s="24"/>
    </row>
    <row r="504" ht="13.1" spans="1:3">
      <c r="A504" s="24"/>
      <c r="B504" s="24"/>
      <c r="C504" s="24"/>
    </row>
    <row r="505" ht="13.1" spans="1:3">
      <c r="A505" s="24"/>
      <c r="B505" s="24"/>
      <c r="C505" s="24"/>
    </row>
    <row r="506" ht="13.1" spans="1:3">
      <c r="A506" s="24"/>
      <c r="B506" s="24"/>
      <c r="C506" s="24"/>
    </row>
    <row r="507" ht="13.1" spans="1:3">
      <c r="A507" s="24"/>
      <c r="B507" s="24"/>
      <c r="C507" s="24"/>
    </row>
    <row r="508" ht="13.1" spans="1:3">
      <c r="A508" s="24"/>
      <c r="B508" s="24"/>
      <c r="C508" s="24"/>
    </row>
    <row r="509" ht="13.1" spans="1:3">
      <c r="A509" s="24"/>
      <c r="B509" s="24"/>
      <c r="C509" s="24"/>
    </row>
    <row r="510" ht="13.1" spans="1:3">
      <c r="A510" s="24"/>
      <c r="B510" s="24"/>
      <c r="C510" s="24"/>
    </row>
    <row r="511" ht="13.1" spans="1:3">
      <c r="A511" s="24"/>
      <c r="B511" s="24"/>
      <c r="C511" s="24"/>
    </row>
    <row r="512" ht="13.1" spans="1:3">
      <c r="A512" s="24"/>
      <c r="B512" s="24"/>
      <c r="C512" s="24"/>
    </row>
    <row r="513" ht="13.1" spans="1:3">
      <c r="A513" s="24"/>
      <c r="B513" s="24"/>
      <c r="C513" s="24"/>
    </row>
    <row r="514" ht="13.1" spans="1:3">
      <c r="A514" s="24"/>
      <c r="B514" s="24"/>
      <c r="C514" s="24"/>
    </row>
    <row r="515" ht="13.1" spans="1:3">
      <c r="A515" s="24"/>
      <c r="B515" s="24"/>
      <c r="C515" s="24"/>
    </row>
    <row r="516" ht="13.1" spans="1:3">
      <c r="A516" s="24"/>
      <c r="B516" s="24"/>
      <c r="C516" s="24"/>
    </row>
    <row r="517" ht="13.1" spans="1:3">
      <c r="A517" s="24"/>
      <c r="B517" s="24"/>
      <c r="C517" s="24"/>
    </row>
    <row r="518" ht="13.1" spans="1:3">
      <c r="A518" s="24"/>
      <c r="B518" s="24"/>
      <c r="C518" s="24"/>
    </row>
    <row r="519" ht="13.1" spans="1:3">
      <c r="A519" s="24"/>
      <c r="B519" s="24"/>
      <c r="C519" s="24"/>
    </row>
    <row r="520" ht="13.1" spans="1:3">
      <c r="A520" s="24"/>
      <c r="B520" s="24"/>
      <c r="C520" s="24"/>
    </row>
    <row r="521" ht="13.1" spans="1:3">
      <c r="A521" s="24"/>
      <c r="B521" s="24"/>
      <c r="C521" s="24"/>
    </row>
    <row r="522" ht="13.1" spans="1:3">
      <c r="A522" s="24"/>
      <c r="B522" s="24"/>
      <c r="C522" s="24"/>
    </row>
    <row r="523" ht="13.1" spans="1:3">
      <c r="A523" s="24"/>
      <c r="B523" s="24"/>
      <c r="C523" s="24"/>
    </row>
    <row r="524" ht="13.1" spans="1:3">
      <c r="A524" s="24"/>
      <c r="B524" s="24"/>
      <c r="C524" s="24"/>
    </row>
    <row r="525" ht="13.1" spans="1:3">
      <c r="A525" s="24"/>
      <c r="B525" s="24"/>
      <c r="C525" s="24"/>
    </row>
    <row r="526" ht="13.1" spans="1:3">
      <c r="A526" s="24"/>
      <c r="B526" s="24"/>
      <c r="C526" s="24"/>
    </row>
    <row r="527" ht="13.1" spans="1:3">
      <c r="A527" s="24"/>
      <c r="B527" s="24"/>
      <c r="C527" s="24"/>
    </row>
    <row r="528" ht="13.1" spans="1:3">
      <c r="A528" s="24"/>
      <c r="B528" s="24"/>
      <c r="C528" s="24"/>
    </row>
    <row r="529" ht="13.1" spans="1:3">
      <c r="A529" s="24"/>
      <c r="B529" s="24"/>
      <c r="C529" s="24"/>
    </row>
    <row r="530" ht="13.1" spans="1:3">
      <c r="A530" s="24"/>
      <c r="B530" s="24"/>
      <c r="C530" s="24"/>
    </row>
    <row r="531" ht="13.1" spans="1:3">
      <c r="A531" s="24"/>
      <c r="B531" s="24"/>
      <c r="C531" s="24"/>
    </row>
    <row r="532" ht="13.1" spans="1:3">
      <c r="A532" s="24"/>
      <c r="B532" s="24"/>
      <c r="C532" s="24"/>
    </row>
    <row r="533" ht="13.1" spans="1:3">
      <c r="A533" s="24"/>
      <c r="B533" s="24"/>
      <c r="C533" s="24"/>
    </row>
    <row r="534" ht="13.1" spans="1:3">
      <c r="A534" s="24"/>
      <c r="B534" s="24"/>
      <c r="C534" s="24"/>
    </row>
    <row r="535" ht="13.1" spans="1:3">
      <c r="A535" s="24"/>
      <c r="B535" s="24"/>
      <c r="C535" s="24"/>
    </row>
    <row r="536" ht="13.1" spans="1:3">
      <c r="A536" s="24"/>
      <c r="B536" s="24"/>
      <c r="C536" s="24"/>
    </row>
    <row r="537" ht="13.1" spans="1:3">
      <c r="A537" s="24"/>
      <c r="B537" s="24"/>
      <c r="C537" s="24"/>
    </row>
    <row r="538" ht="13.1" spans="1:3">
      <c r="A538" s="24"/>
      <c r="B538" s="24"/>
      <c r="C538" s="24"/>
    </row>
    <row r="539" ht="13.1" spans="1:3">
      <c r="A539" s="24"/>
      <c r="B539" s="24"/>
      <c r="C539" s="24"/>
    </row>
    <row r="540" ht="13.1" spans="1:3">
      <c r="A540" s="24"/>
      <c r="B540" s="24"/>
      <c r="C540" s="24"/>
    </row>
    <row r="541" ht="13.1" spans="1:3">
      <c r="A541" s="24"/>
      <c r="B541" s="24"/>
      <c r="C541" s="24"/>
    </row>
    <row r="542" ht="13.1" spans="1:3">
      <c r="A542" s="24"/>
      <c r="B542" s="24"/>
      <c r="C542" s="24"/>
    </row>
    <row r="543" ht="13.1" spans="1:3">
      <c r="A543" s="24"/>
      <c r="B543" s="24"/>
      <c r="C543" s="24"/>
    </row>
    <row r="544" ht="13.1" spans="1:3">
      <c r="A544" s="24"/>
      <c r="B544" s="24"/>
      <c r="C544" s="24"/>
    </row>
    <row r="545" ht="13.1" spans="1:3">
      <c r="A545" s="24"/>
      <c r="B545" s="24"/>
      <c r="C545" s="24"/>
    </row>
    <row r="546" ht="13.1" spans="1:3">
      <c r="A546" s="24"/>
      <c r="B546" s="24"/>
      <c r="C546" s="24"/>
    </row>
    <row r="547" ht="13.1" spans="1:3">
      <c r="A547" s="24"/>
      <c r="B547" s="24"/>
      <c r="C547" s="24"/>
    </row>
    <row r="548" ht="13.1" spans="1:3">
      <c r="A548" s="24"/>
      <c r="B548" s="24"/>
      <c r="C548" s="24"/>
    </row>
    <row r="549" ht="13.1" spans="1:3">
      <c r="A549" s="24"/>
      <c r="B549" s="24"/>
      <c r="C549" s="24"/>
    </row>
    <row r="550" ht="13.1" spans="1:3">
      <c r="A550" s="24"/>
      <c r="B550" s="24"/>
      <c r="C550" s="24"/>
    </row>
    <row r="551" ht="13.1" spans="1:3">
      <c r="A551" s="24"/>
      <c r="B551" s="24"/>
      <c r="C551" s="24"/>
    </row>
    <row r="552" ht="13.1" spans="1:3">
      <c r="A552" s="24"/>
      <c r="B552" s="24"/>
      <c r="C552" s="24"/>
    </row>
    <row r="553" ht="13.1" spans="1:3">
      <c r="A553" s="24"/>
      <c r="B553" s="24"/>
      <c r="C553" s="24"/>
    </row>
    <row r="554" ht="13.1" spans="1:3">
      <c r="A554" s="24"/>
      <c r="B554" s="24"/>
      <c r="C554" s="24"/>
    </row>
    <row r="555" ht="13.1" spans="1:3">
      <c r="A555" s="24"/>
      <c r="B555" s="24"/>
      <c r="C555" s="24"/>
    </row>
    <row r="556" ht="13.1" spans="1:3">
      <c r="A556" s="24"/>
      <c r="B556" s="24"/>
      <c r="C556" s="24"/>
    </row>
    <row r="557" ht="13.1" spans="1:3">
      <c r="A557" s="24"/>
      <c r="B557" s="24"/>
      <c r="C557" s="24"/>
    </row>
    <row r="558" ht="13.1" spans="1:3">
      <c r="A558" s="24"/>
      <c r="B558" s="24"/>
      <c r="C558" s="24"/>
    </row>
    <row r="559" ht="13.1" spans="1:3">
      <c r="A559" s="24"/>
      <c r="B559" s="24"/>
      <c r="C559" s="24"/>
    </row>
    <row r="560" ht="13.1" spans="1:3">
      <c r="A560" s="24"/>
      <c r="B560" s="24"/>
      <c r="C560" s="24"/>
    </row>
    <row r="561" ht="13.1" spans="1:3">
      <c r="A561" s="24"/>
      <c r="B561" s="24"/>
      <c r="C561" s="24"/>
    </row>
    <row r="562" ht="13.1" spans="1:3">
      <c r="A562" s="24"/>
      <c r="B562" s="24"/>
      <c r="C562" s="24"/>
    </row>
    <row r="563" ht="13.1" spans="1:3">
      <c r="A563" s="24"/>
      <c r="B563" s="24"/>
      <c r="C563" s="24"/>
    </row>
    <row r="564" ht="13.1" spans="1:3">
      <c r="A564" s="24"/>
      <c r="B564" s="24"/>
      <c r="C564" s="24"/>
    </row>
    <row r="565" ht="13.1" spans="1:3">
      <c r="A565" s="24"/>
      <c r="B565" s="24"/>
      <c r="C565" s="24"/>
    </row>
    <row r="566" ht="13.1" spans="1:3">
      <c r="A566" s="24"/>
      <c r="B566" s="24"/>
      <c r="C566" s="24"/>
    </row>
    <row r="567" ht="13.1" spans="1:3">
      <c r="A567" s="24"/>
      <c r="B567" s="24"/>
      <c r="C567" s="24"/>
    </row>
    <row r="568" ht="13.1" spans="1:3">
      <c r="A568" s="24"/>
      <c r="B568" s="24"/>
      <c r="C568" s="24"/>
    </row>
    <row r="569" ht="13.1" spans="1:3">
      <c r="A569" s="24"/>
      <c r="B569" s="24"/>
      <c r="C569" s="24"/>
    </row>
    <row r="570" ht="13.1" spans="1:3">
      <c r="A570" s="24"/>
      <c r="B570" s="24"/>
      <c r="C570" s="24"/>
    </row>
    <row r="571" ht="13.1" spans="1:3">
      <c r="A571" s="24"/>
      <c r="B571" s="24"/>
      <c r="C571" s="24"/>
    </row>
    <row r="572" ht="13.1" spans="1:3">
      <c r="A572" s="24"/>
      <c r="B572" s="24"/>
      <c r="C572" s="24"/>
    </row>
    <row r="573" ht="13.1" spans="1:3">
      <c r="A573" s="24"/>
      <c r="B573" s="24"/>
      <c r="C573" s="24"/>
    </row>
    <row r="574" ht="13.1" spans="1:3">
      <c r="A574" s="24"/>
      <c r="B574" s="24"/>
      <c r="C574" s="24"/>
    </row>
    <row r="575" ht="13.1" spans="1:3">
      <c r="A575" s="24"/>
      <c r="B575" s="24"/>
      <c r="C575" s="24"/>
    </row>
    <row r="576" ht="13.1" spans="1:3">
      <c r="A576" s="24"/>
      <c r="B576" s="24"/>
      <c r="C576" s="24"/>
    </row>
    <row r="577" ht="13.1" spans="1:3">
      <c r="A577" s="24"/>
      <c r="B577" s="24"/>
      <c r="C577" s="24"/>
    </row>
    <row r="578" ht="13.1" spans="1:3">
      <c r="A578" s="24"/>
      <c r="B578" s="24"/>
      <c r="C578" s="24"/>
    </row>
    <row r="579" ht="13.1" spans="1:3">
      <c r="A579" s="24"/>
      <c r="B579" s="24"/>
      <c r="C579" s="24"/>
    </row>
    <row r="580" ht="13.1" spans="1:3">
      <c r="A580" s="24"/>
      <c r="B580" s="24"/>
      <c r="C580" s="24"/>
    </row>
    <row r="581" ht="13.1" spans="1:3">
      <c r="A581" s="24"/>
      <c r="B581" s="24"/>
      <c r="C581" s="24"/>
    </row>
    <row r="582" ht="13.1" spans="1:3">
      <c r="A582" s="24"/>
      <c r="B582" s="24"/>
      <c r="C582" s="24"/>
    </row>
    <row r="583" ht="13.1" spans="1:3">
      <c r="A583" s="24"/>
      <c r="B583" s="24"/>
      <c r="C583" s="24"/>
    </row>
    <row r="584" ht="13.1" spans="1:3">
      <c r="A584" s="24"/>
      <c r="B584" s="24"/>
      <c r="C584" s="24"/>
    </row>
    <row r="585" ht="13.1" spans="1:3">
      <c r="A585" s="24"/>
      <c r="B585" s="24"/>
      <c r="C585" s="24"/>
    </row>
    <row r="586" ht="13.1" spans="1:3">
      <c r="A586" s="24"/>
      <c r="B586" s="24"/>
      <c r="C586" s="24"/>
    </row>
    <row r="587" ht="13.1" spans="1:3">
      <c r="A587" s="24"/>
      <c r="B587" s="24"/>
      <c r="C587" s="24"/>
    </row>
    <row r="588" ht="13.1" spans="1:3">
      <c r="A588" s="24"/>
      <c r="B588" s="24"/>
      <c r="C588" s="24"/>
    </row>
    <row r="589" ht="13.1" spans="1:3">
      <c r="A589" s="24"/>
      <c r="B589" s="24"/>
      <c r="C589" s="24"/>
    </row>
    <row r="590" ht="13.1" spans="1:3">
      <c r="A590" s="24"/>
      <c r="B590" s="24"/>
      <c r="C590" s="24"/>
    </row>
    <row r="591" ht="13.1" spans="1:3">
      <c r="A591" s="24"/>
      <c r="B591" s="24"/>
      <c r="C591" s="24"/>
    </row>
    <row r="592" ht="13.1" spans="1:3">
      <c r="A592" s="24"/>
      <c r="B592" s="24"/>
      <c r="C592" s="24"/>
    </row>
    <row r="593" ht="13.1" spans="1:3">
      <c r="A593" s="24"/>
      <c r="B593" s="24"/>
      <c r="C593" s="24"/>
    </row>
    <row r="594" ht="13.1" spans="1:3">
      <c r="A594" s="24"/>
      <c r="B594" s="24"/>
      <c r="C594" s="24"/>
    </row>
    <row r="595" ht="13.1" spans="1:3">
      <c r="A595" s="24"/>
      <c r="B595" s="24"/>
      <c r="C595" s="24"/>
    </row>
    <row r="596" ht="13.1" spans="1:3">
      <c r="A596" s="24"/>
      <c r="B596" s="24"/>
      <c r="C596" s="24"/>
    </row>
    <row r="597" ht="13.1" spans="1:3">
      <c r="A597" s="24"/>
      <c r="B597" s="24"/>
      <c r="C597" s="24"/>
    </row>
    <row r="598" ht="13.1" spans="1:3">
      <c r="A598" s="24"/>
      <c r="B598" s="24"/>
      <c r="C598" s="24"/>
    </row>
    <row r="599" ht="13.1" spans="1:3">
      <c r="A599" s="24"/>
      <c r="B599" s="24"/>
      <c r="C599" s="24"/>
    </row>
    <row r="600" ht="13.1" spans="1:3">
      <c r="A600" s="24"/>
      <c r="B600" s="24"/>
      <c r="C600" s="24"/>
    </row>
    <row r="601" ht="13.1" spans="1:3">
      <c r="A601" s="24"/>
      <c r="B601" s="24"/>
      <c r="C601" s="24"/>
    </row>
    <row r="602" ht="13.1" spans="1:3">
      <c r="A602" s="24"/>
      <c r="B602" s="24"/>
      <c r="C602" s="24"/>
    </row>
    <row r="603" ht="13.1" spans="1:3">
      <c r="A603" s="24"/>
      <c r="B603" s="24"/>
      <c r="C603" s="24"/>
    </row>
    <row r="604" ht="13.1" spans="1:3">
      <c r="A604" s="24"/>
      <c r="B604" s="24"/>
      <c r="C604" s="24"/>
    </row>
    <row r="605" ht="13.1" spans="1:3">
      <c r="A605" s="24"/>
      <c r="B605" s="24"/>
      <c r="C605" s="24"/>
    </row>
    <row r="606" ht="13.1" spans="1:3">
      <c r="A606" s="24"/>
      <c r="B606" s="24"/>
      <c r="C606" s="24"/>
    </row>
    <row r="607" ht="13.1" spans="1:3">
      <c r="A607" s="24"/>
      <c r="B607" s="24"/>
      <c r="C607" s="24"/>
    </row>
    <row r="608" ht="13.1" spans="1:3">
      <c r="A608" s="24"/>
      <c r="B608" s="24"/>
      <c r="C608" s="24"/>
    </row>
    <row r="609" ht="13.1" spans="1:3">
      <c r="A609" s="24"/>
      <c r="B609" s="24"/>
      <c r="C609" s="24"/>
    </row>
    <row r="610" ht="13.1" spans="1:3">
      <c r="A610" s="24"/>
      <c r="B610" s="24"/>
      <c r="C610" s="24"/>
    </row>
    <row r="611" ht="13.1" spans="1:3">
      <c r="A611" s="24"/>
      <c r="B611" s="24"/>
      <c r="C611" s="24"/>
    </row>
    <row r="612" ht="13.1" spans="1:3">
      <c r="A612" s="24"/>
      <c r="B612" s="24"/>
      <c r="C612" s="24"/>
    </row>
    <row r="613" ht="13.1" spans="1:3">
      <c r="A613" s="24"/>
      <c r="B613" s="24"/>
      <c r="C613" s="24"/>
    </row>
    <row r="614" ht="13.1" spans="1:3">
      <c r="A614" s="24"/>
      <c r="B614" s="24"/>
      <c r="C614" s="24"/>
    </row>
    <row r="615" ht="13.1" spans="1:3">
      <c r="A615" s="24"/>
      <c r="B615" s="24"/>
      <c r="C615" s="24"/>
    </row>
    <row r="616" ht="13.1" spans="1:3">
      <c r="A616" s="24"/>
      <c r="B616" s="24"/>
      <c r="C616" s="24"/>
    </row>
    <row r="617" ht="13.1" spans="1:3">
      <c r="A617" s="24"/>
      <c r="B617" s="24"/>
      <c r="C617" s="24"/>
    </row>
    <row r="618" ht="13.1" spans="1:3">
      <c r="A618" s="24"/>
      <c r="B618" s="24"/>
      <c r="C618" s="24"/>
    </row>
    <row r="619" ht="13.1" spans="1:3">
      <c r="A619" s="24"/>
      <c r="B619" s="24"/>
      <c r="C619" s="24"/>
    </row>
    <row r="620" ht="13.1" spans="1:3">
      <c r="A620" s="24"/>
      <c r="B620" s="24"/>
      <c r="C620" s="24"/>
    </row>
    <row r="621" ht="13.1" spans="1:3">
      <c r="A621" s="24"/>
      <c r="B621" s="24"/>
      <c r="C621" s="24"/>
    </row>
    <row r="622" ht="13.1" spans="1:3">
      <c r="A622" s="24"/>
      <c r="B622" s="24"/>
      <c r="C622" s="24"/>
    </row>
    <row r="623" ht="13.1" spans="1:3">
      <c r="A623" s="24"/>
      <c r="B623" s="24"/>
      <c r="C623" s="24"/>
    </row>
    <row r="624" ht="13.1" spans="1:3">
      <c r="A624" s="24"/>
      <c r="B624" s="24"/>
      <c r="C624" s="24"/>
    </row>
    <row r="625" ht="13.1" spans="1:3">
      <c r="A625" s="24"/>
      <c r="B625" s="24"/>
      <c r="C625" s="24"/>
    </row>
    <row r="626" ht="13.1" spans="1:3">
      <c r="A626" s="24"/>
      <c r="B626" s="24"/>
      <c r="C626" s="24"/>
    </row>
    <row r="627" ht="13.1" spans="1:3">
      <c r="A627" s="24"/>
      <c r="B627" s="24"/>
      <c r="C627" s="24"/>
    </row>
    <row r="628" ht="13.1" spans="1:3">
      <c r="A628" s="24"/>
      <c r="B628" s="24"/>
      <c r="C628" s="24"/>
    </row>
    <row r="629" ht="13.1" spans="1:3">
      <c r="A629" s="24"/>
      <c r="B629" s="24"/>
      <c r="C629" s="24"/>
    </row>
    <row r="630" ht="13.1" spans="1:3">
      <c r="A630" s="24"/>
      <c r="B630" s="24"/>
      <c r="C630" s="24"/>
    </row>
    <row r="631" ht="13.1" spans="1:3">
      <c r="A631" s="24"/>
      <c r="B631" s="24"/>
      <c r="C631" s="24"/>
    </row>
    <row r="632" ht="13.1" spans="1:3">
      <c r="A632" s="24"/>
      <c r="B632" s="24"/>
      <c r="C632" s="24"/>
    </row>
    <row r="633" ht="13.1" spans="1:3">
      <c r="A633" s="24"/>
      <c r="B633" s="24"/>
      <c r="C633" s="24"/>
    </row>
    <row r="634" ht="13.1" spans="1:3">
      <c r="A634" s="24"/>
      <c r="B634" s="24"/>
      <c r="C634" s="24"/>
    </row>
    <row r="635" ht="13.1" spans="1:3">
      <c r="A635" s="24"/>
      <c r="B635" s="24"/>
      <c r="C635" s="24"/>
    </row>
    <row r="636" ht="13.1" spans="1:3">
      <c r="A636" s="24"/>
      <c r="B636" s="24"/>
      <c r="C636" s="24"/>
    </row>
    <row r="637" ht="13.1" spans="1:3">
      <c r="A637" s="24"/>
      <c r="B637" s="24"/>
      <c r="C637" s="24"/>
    </row>
    <row r="638" ht="13.1" spans="1:3">
      <c r="A638" s="24"/>
      <c r="B638" s="24"/>
      <c r="C638" s="24"/>
    </row>
    <row r="639" ht="13.1" spans="1:3">
      <c r="A639" s="24"/>
      <c r="B639" s="24"/>
      <c r="C639" s="24"/>
    </row>
    <row r="640" ht="13.1" spans="1:3">
      <c r="A640" s="24"/>
      <c r="B640" s="24"/>
      <c r="C640" s="24"/>
    </row>
    <row r="641" ht="13.1" spans="1:3">
      <c r="A641" s="24"/>
      <c r="B641" s="24"/>
      <c r="C641" s="24"/>
    </row>
    <row r="642" ht="13.1" spans="1:3">
      <c r="A642" s="24"/>
      <c r="B642" s="24"/>
      <c r="C642" s="24"/>
    </row>
    <row r="643" ht="13.1" spans="1:3">
      <c r="A643" s="24"/>
      <c r="B643" s="24"/>
      <c r="C643" s="24"/>
    </row>
    <row r="644" ht="13.1" spans="1:3">
      <c r="A644" s="24"/>
      <c r="B644" s="24"/>
      <c r="C644" s="24"/>
    </row>
    <row r="645" ht="13.1" spans="1:3">
      <c r="A645" s="24"/>
      <c r="B645" s="24"/>
      <c r="C645" s="24"/>
    </row>
    <row r="646" ht="13.1" spans="1:3">
      <c r="A646" s="24"/>
      <c r="B646" s="24"/>
      <c r="C646" s="24"/>
    </row>
    <row r="647" ht="13.1" spans="1:3">
      <c r="A647" s="24"/>
      <c r="B647" s="24"/>
      <c r="C647" s="24"/>
    </row>
    <row r="648" ht="13.1" spans="1:3">
      <c r="A648" s="24"/>
      <c r="B648" s="24"/>
      <c r="C648" s="24"/>
    </row>
    <row r="649" ht="13.1" spans="1:3">
      <c r="A649" s="24"/>
      <c r="B649" s="24"/>
      <c r="C649" s="24"/>
    </row>
    <row r="650" ht="13.1" spans="1:3">
      <c r="A650" s="24"/>
      <c r="B650" s="24"/>
      <c r="C650" s="24"/>
    </row>
    <row r="651" ht="13.1" spans="1:3">
      <c r="A651" s="24"/>
      <c r="B651" s="24"/>
      <c r="C651" s="24"/>
    </row>
    <row r="652" ht="13.1" spans="1:3">
      <c r="A652" s="24"/>
      <c r="B652" s="24"/>
      <c r="C652" s="24"/>
    </row>
    <row r="653" ht="13.1" spans="1:3">
      <c r="A653" s="24"/>
      <c r="B653" s="24"/>
      <c r="C653" s="24"/>
    </row>
    <row r="654" ht="13.1" spans="1:3">
      <c r="A654" s="24"/>
      <c r="B654" s="24"/>
      <c r="C654" s="24"/>
    </row>
    <row r="655" ht="13.1" spans="1:3">
      <c r="A655" s="24"/>
      <c r="B655" s="24"/>
      <c r="C655" s="24"/>
    </row>
    <row r="656" ht="13.1" spans="1:3">
      <c r="A656" s="24"/>
      <c r="B656" s="24"/>
      <c r="C656" s="24"/>
    </row>
    <row r="657" ht="13.1" spans="1:3">
      <c r="A657" s="24"/>
      <c r="B657" s="24"/>
      <c r="C657" s="24"/>
    </row>
    <row r="658" ht="13.1" spans="1:3">
      <c r="A658" s="24"/>
      <c r="B658" s="24"/>
      <c r="C658" s="24"/>
    </row>
    <row r="659" ht="13.1" spans="1:3">
      <c r="A659" s="24"/>
      <c r="B659" s="24"/>
      <c r="C659" s="24"/>
    </row>
    <row r="660" ht="13.1" spans="1:3">
      <c r="A660" s="24"/>
      <c r="B660" s="24"/>
      <c r="C660" s="24"/>
    </row>
    <row r="661" ht="13.1" spans="1:3">
      <c r="A661" s="24"/>
      <c r="B661" s="24"/>
      <c r="C661" s="24"/>
    </row>
    <row r="662" ht="13.1" spans="1:3">
      <c r="A662" s="24"/>
      <c r="B662" s="24"/>
      <c r="C662" s="24"/>
    </row>
    <row r="663" ht="13.1" spans="1:3">
      <c r="A663" s="24"/>
      <c r="B663" s="24"/>
      <c r="C663" s="24"/>
    </row>
    <row r="664" ht="13.1" spans="1:3">
      <c r="A664" s="24"/>
      <c r="B664" s="24"/>
      <c r="C664" s="24"/>
    </row>
    <row r="665" ht="13.1" spans="1:3">
      <c r="A665" s="24"/>
      <c r="B665" s="24"/>
      <c r="C665" s="24"/>
    </row>
    <row r="666" ht="13.1" spans="1:3">
      <c r="A666" s="24"/>
      <c r="B666" s="24"/>
      <c r="C666" s="24"/>
    </row>
    <row r="667" ht="13.1" spans="1:3">
      <c r="A667" s="24"/>
      <c r="B667" s="24"/>
      <c r="C667" s="24"/>
    </row>
    <row r="668" ht="13.1" spans="1:3">
      <c r="A668" s="24"/>
      <c r="B668" s="24"/>
      <c r="C668" s="24"/>
    </row>
    <row r="669" ht="13.1" spans="1:3">
      <c r="A669" s="24"/>
      <c r="B669" s="24"/>
      <c r="C669" s="24"/>
    </row>
    <row r="670" ht="13.1" spans="1:3">
      <c r="A670" s="24"/>
      <c r="B670" s="24"/>
      <c r="C670" s="24"/>
    </row>
    <row r="671" ht="13.1" spans="1:3">
      <c r="A671" s="24"/>
      <c r="B671" s="24"/>
      <c r="C671" s="24"/>
    </row>
    <row r="672" ht="13.1" spans="1:3">
      <c r="A672" s="24"/>
      <c r="B672" s="24"/>
      <c r="C672" s="24"/>
    </row>
    <row r="673" ht="13.1" spans="1:3">
      <c r="A673" s="24"/>
      <c r="B673" s="24"/>
      <c r="C673" s="24"/>
    </row>
    <row r="674" ht="13.1" spans="1:3">
      <c r="A674" s="24"/>
      <c r="B674" s="24"/>
      <c r="C674" s="24"/>
    </row>
    <row r="675" ht="13.1" spans="1:3">
      <c r="A675" s="24"/>
      <c r="B675" s="24"/>
      <c r="C675" s="24"/>
    </row>
    <row r="676" ht="13.1" spans="1:3">
      <c r="A676" s="24"/>
      <c r="B676" s="24"/>
      <c r="C676" s="24"/>
    </row>
    <row r="677" ht="13.1" spans="1:3">
      <c r="A677" s="24"/>
      <c r="B677" s="24"/>
      <c r="C677" s="24"/>
    </row>
    <row r="678" ht="13.1" spans="1:3">
      <c r="A678" s="24"/>
      <c r="B678" s="24"/>
      <c r="C678" s="24"/>
    </row>
    <row r="679" ht="13.1" spans="1:3">
      <c r="A679" s="24"/>
      <c r="B679" s="24"/>
      <c r="C679" s="24"/>
    </row>
    <row r="680" ht="13.1" spans="1:3">
      <c r="A680" s="24"/>
      <c r="B680" s="24"/>
      <c r="C680" s="24"/>
    </row>
    <row r="681" ht="13.1" spans="1:3">
      <c r="A681" s="24"/>
      <c r="B681" s="24"/>
      <c r="C681" s="24"/>
    </row>
    <row r="682" ht="13.1" spans="1:3">
      <c r="A682" s="24"/>
      <c r="B682" s="24"/>
      <c r="C682" s="24"/>
    </row>
    <row r="683" ht="13.1" spans="1:3">
      <c r="A683" s="24"/>
      <c r="B683" s="24"/>
      <c r="C683" s="24"/>
    </row>
    <row r="684" ht="13.1" spans="1:3">
      <c r="A684" s="24"/>
      <c r="B684" s="24"/>
      <c r="C684" s="24"/>
    </row>
    <row r="685" ht="13.1" spans="1:3">
      <c r="A685" s="24"/>
      <c r="B685" s="24"/>
      <c r="C685" s="24"/>
    </row>
    <row r="686" ht="13.1" spans="1:3">
      <c r="A686" s="24"/>
      <c r="B686" s="24"/>
      <c r="C686" s="24"/>
    </row>
    <row r="687" ht="13.1" spans="1:3">
      <c r="A687" s="24"/>
      <c r="B687" s="24"/>
      <c r="C687" s="24"/>
    </row>
    <row r="688" ht="13.1" spans="1:3">
      <c r="A688" s="24"/>
      <c r="B688" s="24"/>
      <c r="C688" s="24"/>
    </row>
    <row r="689" ht="13.1" spans="1:3">
      <c r="A689" s="24"/>
      <c r="B689" s="24"/>
      <c r="C689" s="24"/>
    </row>
    <row r="690" ht="13.1" spans="1:3">
      <c r="A690" s="24"/>
      <c r="B690" s="24"/>
      <c r="C690" s="24"/>
    </row>
    <row r="691" ht="13.1" spans="1:3">
      <c r="A691" s="24"/>
      <c r="B691" s="24"/>
      <c r="C691" s="24"/>
    </row>
    <row r="692" ht="13.1" spans="1:3">
      <c r="A692" s="24"/>
      <c r="B692" s="24"/>
      <c r="C692" s="24"/>
    </row>
    <row r="693" ht="13.1" spans="1:3">
      <c r="A693" s="24"/>
      <c r="B693" s="24"/>
      <c r="C693" s="24"/>
    </row>
    <row r="694" ht="13.1" spans="1:3">
      <c r="A694" s="24"/>
      <c r="B694" s="24"/>
      <c r="C694" s="24"/>
    </row>
    <row r="695" ht="13.1" spans="1:3">
      <c r="A695" s="24"/>
      <c r="B695" s="24"/>
      <c r="C695" s="24"/>
    </row>
    <row r="696" ht="13.1" spans="1:3">
      <c r="A696" s="24"/>
      <c r="B696" s="24"/>
      <c r="C696" s="24"/>
    </row>
    <row r="697" ht="13.1" spans="1:3">
      <c r="A697" s="24"/>
      <c r="B697" s="24"/>
      <c r="C697" s="24"/>
    </row>
    <row r="698" ht="13.1" spans="1:3">
      <c r="A698" s="24"/>
      <c r="B698" s="24"/>
      <c r="C698" s="24"/>
    </row>
    <row r="699" ht="13.1" spans="1:3">
      <c r="A699" s="24"/>
      <c r="B699" s="24"/>
      <c r="C699" s="24"/>
    </row>
    <row r="700" ht="13.1" spans="1:3">
      <c r="A700" s="24"/>
      <c r="B700" s="24"/>
      <c r="C700" s="24"/>
    </row>
    <row r="701" ht="13.1" spans="1:3">
      <c r="A701" s="24"/>
      <c r="B701" s="24"/>
      <c r="C701" s="24"/>
    </row>
    <row r="702" ht="13.1" spans="1:3">
      <c r="A702" s="24"/>
      <c r="B702" s="24"/>
      <c r="C702" s="24"/>
    </row>
    <row r="703" ht="13.1" spans="1:3">
      <c r="A703" s="24"/>
      <c r="B703" s="24"/>
      <c r="C703" s="24"/>
    </row>
    <row r="704" ht="13.1" spans="1:3">
      <c r="A704" s="24"/>
      <c r="B704" s="24"/>
      <c r="C704" s="24"/>
    </row>
    <row r="705" ht="13.1" spans="1:3">
      <c r="A705" s="24"/>
      <c r="B705" s="24"/>
      <c r="C705" s="24"/>
    </row>
    <row r="706" ht="13.1" spans="1:3">
      <c r="A706" s="24"/>
      <c r="B706" s="24"/>
      <c r="C706" s="24"/>
    </row>
    <row r="707" ht="13.1" spans="1:3">
      <c r="A707" s="24"/>
      <c r="B707" s="24"/>
      <c r="C707" s="24"/>
    </row>
    <row r="708" ht="13.1" spans="1:3">
      <c r="A708" s="24"/>
      <c r="B708" s="24"/>
      <c r="C708" s="24"/>
    </row>
    <row r="709" ht="13.1" spans="1:3">
      <c r="A709" s="24"/>
      <c r="B709" s="24"/>
      <c r="C709" s="24"/>
    </row>
    <row r="710" ht="13.1" spans="1:3">
      <c r="A710" s="24"/>
      <c r="B710" s="24"/>
      <c r="C710" s="24"/>
    </row>
    <row r="711" ht="13.1" spans="1:3">
      <c r="A711" s="24"/>
      <c r="B711" s="24"/>
      <c r="C711" s="24"/>
    </row>
    <row r="712" ht="13.1" spans="1:3">
      <c r="A712" s="24"/>
      <c r="B712" s="24"/>
      <c r="C712" s="24"/>
    </row>
    <row r="713" ht="13.1" spans="1:3">
      <c r="A713" s="24"/>
      <c r="B713" s="24"/>
      <c r="C713" s="24"/>
    </row>
    <row r="714" ht="13.1" spans="1:3">
      <c r="A714" s="24"/>
      <c r="B714" s="24"/>
      <c r="C714" s="24"/>
    </row>
    <row r="715" ht="13.1" spans="1:3">
      <c r="A715" s="24"/>
      <c r="B715" s="24"/>
      <c r="C715" s="24"/>
    </row>
    <row r="716" ht="13.1" spans="1:3">
      <c r="A716" s="24"/>
      <c r="B716" s="24"/>
      <c r="C716" s="24"/>
    </row>
    <row r="717" ht="13.1" spans="1:3">
      <c r="A717" s="24"/>
      <c r="B717" s="24"/>
      <c r="C717" s="24"/>
    </row>
    <row r="718" ht="13.1" spans="1:3">
      <c r="A718" s="24"/>
      <c r="B718" s="24"/>
      <c r="C718" s="24"/>
    </row>
    <row r="719" ht="13.1" spans="1:3">
      <c r="A719" s="24"/>
      <c r="B719" s="24"/>
      <c r="C719" s="24"/>
    </row>
    <row r="720" ht="13.1" spans="1:3">
      <c r="A720" s="24"/>
      <c r="B720" s="24"/>
      <c r="C720" s="24"/>
    </row>
    <row r="721" ht="13.1" spans="1:3">
      <c r="A721" s="24"/>
      <c r="B721" s="24"/>
      <c r="C721" s="24"/>
    </row>
    <row r="722" ht="13.1" spans="1:3">
      <c r="A722" s="24"/>
      <c r="B722" s="24"/>
      <c r="C722" s="24"/>
    </row>
    <row r="723" ht="13.1" spans="1:3">
      <c r="A723" s="24"/>
      <c r="B723" s="24"/>
      <c r="C723" s="24"/>
    </row>
    <row r="724" ht="13.1" spans="1:3">
      <c r="A724" s="24"/>
      <c r="B724" s="24"/>
      <c r="C724" s="24"/>
    </row>
    <row r="725" ht="13.1" spans="1:3">
      <c r="A725" s="24"/>
      <c r="B725" s="24"/>
      <c r="C725" s="24"/>
    </row>
    <row r="726" ht="13.1" spans="1:3">
      <c r="A726" s="24"/>
      <c r="B726" s="24"/>
      <c r="C726" s="24"/>
    </row>
    <row r="727" ht="13.1" spans="1:3">
      <c r="A727" s="24"/>
      <c r="B727" s="24"/>
      <c r="C727" s="24"/>
    </row>
    <row r="728" ht="13.1" spans="1:3">
      <c r="A728" s="24"/>
      <c r="B728" s="24"/>
      <c r="C728" s="24"/>
    </row>
    <row r="729" ht="13.1" spans="1:3">
      <c r="A729" s="24"/>
      <c r="B729" s="24"/>
      <c r="C729" s="24"/>
    </row>
    <row r="730" ht="13.1" spans="1:3">
      <c r="A730" s="24"/>
      <c r="B730" s="24"/>
      <c r="C730" s="24"/>
    </row>
    <row r="731" ht="13.1" spans="1:3">
      <c r="A731" s="24"/>
      <c r="B731" s="24"/>
      <c r="C731" s="24"/>
    </row>
    <row r="732" ht="13.1" spans="1:3">
      <c r="A732" s="24"/>
      <c r="B732" s="24"/>
      <c r="C732" s="24"/>
    </row>
    <row r="733" ht="13.1" spans="1:3">
      <c r="A733" s="24"/>
      <c r="B733" s="24"/>
      <c r="C733" s="24"/>
    </row>
    <row r="734" ht="13.1" spans="1:3">
      <c r="A734" s="24"/>
      <c r="B734" s="24"/>
      <c r="C734" s="24"/>
    </row>
    <row r="735" ht="13.1" spans="1:3">
      <c r="A735" s="24"/>
      <c r="B735" s="24"/>
      <c r="C735" s="24"/>
    </row>
    <row r="736" ht="13.1" spans="1:3">
      <c r="A736" s="24"/>
      <c r="B736" s="24"/>
      <c r="C736" s="24"/>
    </row>
    <row r="737" ht="13.1" spans="1:3">
      <c r="A737" s="24"/>
      <c r="B737" s="24"/>
      <c r="C737" s="24"/>
    </row>
    <row r="738" ht="13.1" spans="1:3">
      <c r="A738" s="24"/>
      <c r="B738" s="24"/>
      <c r="C738" s="24"/>
    </row>
    <row r="739" ht="13.1" spans="1:3">
      <c r="A739" s="24"/>
      <c r="B739" s="24"/>
      <c r="C739" s="24"/>
    </row>
    <row r="740" ht="13.1" spans="1:3">
      <c r="A740" s="24"/>
      <c r="B740" s="24"/>
      <c r="C740" s="24"/>
    </row>
    <row r="741" ht="13.1" spans="1:3">
      <c r="A741" s="24"/>
      <c r="B741" s="24"/>
      <c r="C741" s="24"/>
    </row>
    <row r="742" ht="13.1" spans="1:3">
      <c r="A742" s="24"/>
      <c r="B742" s="24"/>
      <c r="C742" s="24"/>
    </row>
    <row r="743" ht="13.1" spans="1:3">
      <c r="A743" s="24"/>
      <c r="B743" s="24"/>
      <c r="C743" s="24"/>
    </row>
    <row r="744" ht="13.1" spans="1:3">
      <c r="A744" s="24"/>
      <c r="B744" s="24"/>
      <c r="C744" s="24"/>
    </row>
    <row r="745" ht="13.1" spans="1:3">
      <c r="A745" s="24"/>
      <c r="B745" s="24"/>
      <c r="C745" s="24"/>
    </row>
    <row r="746" ht="13.1" spans="1:3">
      <c r="A746" s="24"/>
      <c r="B746" s="24"/>
      <c r="C746" s="24"/>
    </row>
    <row r="747" ht="13.1" spans="1:3">
      <c r="A747" s="24"/>
      <c r="B747" s="24"/>
      <c r="C747" s="24"/>
    </row>
    <row r="748" ht="13.1" spans="1:3">
      <c r="A748" s="24"/>
      <c r="B748" s="24"/>
      <c r="C748" s="24"/>
    </row>
    <row r="749" ht="13.1" spans="1:3">
      <c r="A749" s="24"/>
      <c r="B749" s="24"/>
      <c r="C749" s="24"/>
    </row>
    <row r="750" ht="13.1" spans="1:3">
      <c r="A750" s="24"/>
      <c r="B750" s="24"/>
      <c r="C750" s="24"/>
    </row>
    <row r="751" ht="13.1" spans="1:3">
      <c r="A751" s="24"/>
      <c r="B751" s="24"/>
      <c r="C751" s="24"/>
    </row>
    <row r="752" ht="13.1" spans="1:3">
      <c r="A752" s="24"/>
      <c r="B752" s="24"/>
      <c r="C752" s="24"/>
    </row>
    <row r="753" ht="13.1" spans="1:3">
      <c r="A753" s="24"/>
      <c r="B753" s="24"/>
      <c r="C753" s="24"/>
    </row>
    <row r="754" ht="13.1" spans="1:3">
      <c r="A754" s="24"/>
      <c r="B754" s="24"/>
      <c r="C754" s="24"/>
    </row>
    <row r="755" ht="13.1" spans="1:3">
      <c r="A755" s="24"/>
      <c r="B755" s="24"/>
      <c r="C755" s="24"/>
    </row>
    <row r="756" ht="13.1" spans="1:3">
      <c r="A756" s="24"/>
      <c r="B756" s="24"/>
      <c r="C756" s="24"/>
    </row>
    <row r="757" ht="13.1" spans="1:3">
      <c r="A757" s="24"/>
      <c r="B757" s="24"/>
      <c r="C757" s="24"/>
    </row>
    <row r="758" ht="13.1" spans="1:3">
      <c r="A758" s="24"/>
      <c r="B758" s="24"/>
      <c r="C758" s="24"/>
    </row>
    <row r="759" ht="13.1" spans="1:3">
      <c r="A759" s="24"/>
      <c r="B759" s="24"/>
      <c r="C759" s="24"/>
    </row>
    <row r="760" ht="13.1" spans="1:3">
      <c r="A760" s="24"/>
      <c r="B760" s="24"/>
      <c r="C760" s="24"/>
    </row>
    <row r="761" ht="13.1" spans="1:3">
      <c r="A761" s="24"/>
      <c r="B761" s="24"/>
      <c r="C761" s="24"/>
    </row>
    <row r="762" ht="13.1" spans="1:3">
      <c r="A762" s="24"/>
      <c r="B762" s="24"/>
      <c r="C762" s="24"/>
    </row>
    <row r="763" ht="13.1" spans="1:3">
      <c r="A763" s="24"/>
      <c r="B763" s="24"/>
      <c r="C763" s="24"/>
    </row>
    <row r="764" ht="13.1" spans="1:3">
      <c r="A764" s="24"/>
      <c r="B764" s="24"/>
      <c r="C764" s="24"/>
    </row>
    <row r="765" ht="13.1" spans="1:3">
      <c r="A765" s="24"/>
      <c r="B765" s="24"/>
      <c r="C765" s="24"/>
    </row>
    <row r="766" ht="13.1" spans="1:3">
      <c r="A766" s="24"/>
      <c r="B766" s="24"/>
      <c r="C766" s="24"/>
    </row>
    <row r="767" ht="13.1" spans="1:3">
      <c r="A767" s="24"/>
      <c r="B767" s="24"/>
      <c r="C767" s="24"/>
    </row>
    <row r="768" ht="13.1" spans="1:3">
      <c r="A768" s="24"/>
      <c r="B768" s="24"/>
      <c r="C768" s="24"/>
    </row>
    <row r="769" ht="13.1" spans="1:3">
      <c r="A769" s="24"/>
      <c r="B769" s="24"/>
      <c r="C769" s="24"/>
    </row>
    <row r="770" ht="13.1" spans="1:3">
      <c r="A770" s="24"/>
      <c r="B770" s="24"/>
      <c r="C770" s="24"/>
    </row>
    <row r="771" ht="13.1" spans="1:3">
      <c r="A771" s="24"/>
      <c r="B771" s="24"/>
      <c r="C771" s="24"/>
    </row>
    <row r="772" ht="13.1" spans="1:3">
      <c r="A772" s="24"/>
      <c r="B772" s="24"/>
      <c r="C772" s="24"/>
    </row>
    <row r="773" ht="13.1" spans="1:3">
      <c r="A773" s="24"/>
      <c r="B773" s="24"/>
      <c r="C773" s="24"/>
    </row>
    <row r="774" ht="13.1" spans="1:3">
      <c r="A774" s="24"/>
      <c r="B774" s="24"/>
      <c r="C774" s="24"/>
    </row>
    <row r="775" ht="13.1" spans="1:3">
      <c r="A775" s="24"/>
      <c r="B775" s="24"/>
      <c r="C775" s="24"/>
    </row>
    <row r="776" ht="13.1" spans="1:3">
      <c r="A776" s="24"/>
      <c r="B776" s="24"/>
      <c r="C776" s="24"/>
    </row>
    <row r="777" ht="13.1" spans="1:3">
      <c r="A777" s="24"/>
      <c r="B777" s="24"/>
      <c r="C777" s="24"/>
    </row>
    <row r="778" ht="13.1" spans="1:3">
      <c r="A778" s="24"/>
      <c r="B778" s="24"/>
      <c r="C778" s="24"/>
    </row>
    <row r="779" ht="13.1" spans="1:3">
      <c r="A779" s="24"/>
      <c r="B779" s="24"/>
      <c r="C779" s="24"/>
    </row>
    <row r="780" ht="13.1" spans="1:3">
      <c r="A780" s="24"/>
      <c r="B780" s="24"/>
      <c r="C780" s="24"/>
    </row>
    <row r="781" ht="13.1" spans="1:3">
      <c r="A781" s="24"/>
      <c r="B781" s="24"/>
      <c r="C781" s="24"/>
    </row>
    <row r="782" ht="13.1" spans="1:3">
      <c r="A782" s="24"/>
      <c r="B782" s="24"/>
      <c r="C782" s="24"/>
    </row>
    <row r="783" ht="13.1" spans="1:3">
      <c r="A783" s="24"/>
      <c r="B783" s="24"/>
      <c r="C783" s="24"/>
    </row>
    <row r="784" ht="13.1" spans="1:3">
      <c r="A784" s="24"/>
      <c r="B784" s="24"/>
      <c r="C784" s="24"/>
    </row>
    <row r="785" ht="13.1" spans="1:3">
      <c r="A785" s="24"/>
      <c r="B785" s="24"/>
      <c r="C785" s="24"/>
    </row>
    <row r="786" ht="13.1" spans="1:3">
      <c r="A786" s="24"/>
      <c r="B786" s="24"/>
      <c r="C786" s="24"/>
    </row>
    <row r="787" ht="13.1" spans="1:3">
      <c r="A787" s="24"/>
      <c r="B787" s="24"/>
      <c r="C787" s="24"/>
    </row>
    <row r="788" ht="13.1" spans="1:3">
      <c r="A788" s="24"/>
      <c r="B788" s="24"/>
      <c r="C788" s="24"/>
    </row>
    <row r="789" ht="13.1" spans="1:3">
      <c r="A789" s="24"/>
      <c r="B789" s="24"/>
      <c r="C789" s="24"/>
    </row>
    <row r="790" ht="13.1" spans="1:3">
      <c r="A790" s="24"/>
      <c r="B790" s="24"/>
      <c r="C790" s="24"/>
    </row>
    <row r="791" ht="13.1" spans="1:3">
      <c r="A791" s="24"/>
      <c r="B791" s="24"/>
      <c r="C791" s="24"/>
    </row>
    <row r="792" ht="13.1" spans="1:3">
      <c r="A792" s="24"/>
      <c r="B792" s="24"/>
      <c r="C792" s="24"/>
    </row>
    <row r="793" ht="13.1" spans="1:3">
      <c r="A793" s="24"/>
      <c r="B793" s="24"/>
      <c r="C793" s="24"/>
    </row>
    <row r="794" ht="13.1" spans="1:3">
      <c r="A794" s="24"/>
      <c r="B794" s="24"/>
      <c r="C794" s="24"/>
    </row>
    <row r="795" ht="13.1" spans="1:3">
      <c r="A795" s="24"/>
      <c r="B795" s="24"/>
      <c r="C795" s="24"/>
    </row>
    <row r="796" ht="13.1" spans="1:3">
      <c r="A796" s="24"/>
      <c r="B796" s="24"/>
      <c r="C796" s="24"/>
    </row>
    <row r="797" ht="13.1" spans="1:3">
      <c r="A797" s="24"/>
      <c r="B797" s="24"/>
      <c r="C797" s="24"/>
    </row>
    <row r="798" ht="13.1" spans="1:3">
      <c r="A798" s="24"/>
      <c r="B798" s="24"/>
      <c r="C798" s="24"/>
    </row>
    <row r="799" ht="13.1" spans="1:3">
      <c r="A799" s="24"/>
      <c r="B799" s="24"/>
      <c r="C799" s="24"/>
    </row>
    <row r="800" ht="13.1" spans="1:3">
      <c r="A800" s="24"/>
      <c r="B800" s="24"/>
      <c r="C800" s="24"/>
    </row>
    <row r="801" ht="13.1" spans="1:3">
      <c r="A801" s="24"/>
      <c r="B801" s="24"/>
      <c r="C801" s="24"/>
    </row>
    <row r="802" ht="13.1" spans="1:3">
      <c r="A802" s="24"/>
      <c r="B802" s="24"/>
      <c r="C802" s="24"/>
    </row>
    <row r="803" ht="13.1" spans="1:3">
      <c r="A803" s="24"/>
      <c r="B803" s="24"/>
      <c r="C803" s="24"/>
    </row>
    <row r="804" ht="13.1" spans="1:3">
      <c r="A804" s="24"/>
      <c r="B804" s="24"/>
      <c r="C804" s="24"/>
    </row>
    <row r="805" ht="13.1" spans="1:3">
      <c r="A805" s="24"/>
      <c r="B805" s="24"/>
      <c r="C805" s="24"/>
    </row>
    <row r="806" ht="13.1" spans="1:3">
      <c r="A806" s="24"/>
      <c r="B806" s="24"/>
      <c r="C806" s="24"/>
    </row>
    <row r="807" ht="13.1" spans="1:3">
      <c r="A807" s="24"/>
      <c r="B807" s="24"/>
      <c r="C807" s="24"/>
    </row>
    <row r="808" ht="13.1" spans="1:3">
      <c r="A808" s="24"/>
      <c r="B808" s="24"/>
      <c r="C808" s="24"/>
    </row>
    <row r="809" ht="13.1" spans="1:3">
      <c r="A809" s="24"/>
      <c r="B809" s="24"/>
      <c r="C809" s="24"/>
    </row>
    <row r="810" ht="13.1" spans="1:3">
      <c r="A810" s="24"/>
      <c r="B810" s="24"/>
      <c r="C810" s="24"/>
    </row>
    <row r="811" ht="13.1" spans="1:3">
      <c r="A811" s="24"/>
      <c r="B811" s="24"/>
      <c r="C811" s="24"/>
    </row>
    <row r="812" ht="13.1" spans="1:3">
      <c r="A812" s="24"/>
      <c r="B812" s="24"/>
      <c r="C812" s="24"/>
    </row>
    <row r="813" ht="13.1" spans="1:3">
      <c r="A813" s="24"/>
      <c r="B813" s="24"/>
      <c r="C813" s="24"/>
    </row>
    <row r="814" ht="13.1" spans="1:3">
      <c r="A814" s="24"/>
      <c r="B814" s="24"/>
      <c r="C814" s="24"/>
    </row>
    <row r="815" ht="13.1" spans="1:3">
      <c r="A815" s="24"/>
      <c r="B815" s="24"/>
      <c r="C815" s="24"/>
    </row>
    <row r="816" ht="13.1" spans="1:3">
      <c r="A816" s="24"/>
      <c r="B816" s="24"/>
      <c r="C816" s="24"/>
    </row>
    <row r="817" ht="13.1" spans="1:3">
      <c r="A817" s="24"/>
      <c r="B817" s="24"/>
      <c r="C817" s="24"/>
    </row>
    <row r="818" ht="13.1" spans="1:3">
      <c r="A818" s="24"/>
      <c r="B818" s="24"/>
      <c r="C818" s="24"/>
    </row>
    <row r="819" ht="13.1" spans="1:3">
      <c r="A819" s="24"/>
      <c r="B819" s="24"/>
      <c r="C819" s="24"/>
    </row>
    <row r="820" ht="13.1" spans="1:3">
      <c r="A820" s="24"/>
      <c r="B820" s="24"/>
      <c r="C820" s="24"/>
    </row>
    <row r="821" ht="13.1" spans="1:3">
      <c r="A821" s="24"/>
      <c r="B821" s="24"/>
      <c r="C821" s="24"/>
    </row>
    <row r="822" ht="13.1" spans="1:3">
      <c r="A822" s="24"/>
      <c r="B822" s="24"/>
      <c r="C822" s="24"/>
    </row>
    <row r="823" ht="13.1" spans="1:3">
      <c r="A823" s="24"/>
      <c r="B823" s="24"/>
      <c r="C823" s="24"/>
    </row>
    <row r="824" ht="13.1" spans="1:3">
      <c r="A824" s="24"/>
      <c r="B824" s="24"/>
      <c r="C824" s="24"/>
    </row>
    <row r="825" ht="13.1" spans="1:3">
      <c r="A825" s="24"/>
      <c r="B825" s="24"/>
      <c r="C825" s="24"/>
    </row>
    <row r="826" ht="13.1" spans="1:3">
      <c r="A826" s="24"/>
      <c r="B826" s="24"/>
      <c r="C826" s="24"/>
    </row>
    <row r="827" ht="13.1" spans="1:3">
      <c r="A827" s="24"/>
      <c r="B827" s="24"/>
      <c r="C827" s="24"/>
    </row>
    <row r="828" ht="13.1" spans="1:3">
      <c r="A828" s="24"/>
      <c r="B828" s="24"/>
      <c r="C828" s="24"/>
    </row>
    <row r="829" ht="13.1" spans="1:3">
      <c r="A829" s="24"/>
      <c r="B829" s="24"/>
      <c r="C829" s="24"/>
    </row>
    <row r="830" ht="13.1" spans="1:3">
      <c r="A830" s="24"/>
      <c r="B830" s="24"/>
      <c r="C830" s="24"/>
    </row>
    <row r="831" ht="13.1" spans="1:3">
      <c r="A831" s="24"/>
      <c r="B831" s="24"/>
      <c r="C831" s="24"/>
    </row>
    <row r="832" ht="13.1" spans="1:3">
      <c r="A832" s="24"/>
      <c r="B832" s="24"/>
      <c r="C832" s="24"/>
    </row>
    <row r="833" ht="13.1" spans="1:3">
      <c r="A833" s="24"/>
      <c r="B833" s="24"/>
      <c r="C833" s="24"/>
    </row>
    <row r="834" ht="13.1" spans="1:3">
      <c r="A834" s="24"/>
      <c r="B834" s="24"/>
      <c r="C834" s="24"/>
    </row>
    <row r="835" ht="13.1" spans="1:3">
      <c r="A835" s="24"/>
      <c r="B835" s="24"/>
      <c r="C835" s="24"/>
    </row>
    <row r="836" ht="13.1" spans="1:3">
      <c r="A836" s="24"/>
      <c r="B836" s="24"/>
      <c r="C836" s="24"/>
    </row>
    <row r="837" ht="13.1" spans="1:3">
      <c r="A837" s="24"/>
      <c r="B837" s="24"/>
      <c r="C837" s="24"/>
    </row>
    <row r="838" ht="13.1" spans="1:3">
      <c r="A838" s="24"/>
      <c r="B838" s="24"/>
      <c r="C838" s="24"/>
    </row>
    <row r="839" ht="13.1" spans="1:3">
      <c r="A839" s="24"/>
      <c r="B839" s="24"/>
      <c r="C839" s="24"/>
    </row>
    <row r="840" ht="13.1" spans="1:3">
      <c r="A840" s="24"/>
      <c r="B840" s="24"/>
      <c r="C840" s="24"/>
    </row>
    <row r="841" ht="13.1" spans="1:3">
      <c r="A841" s="24"/>
      <c r="B841" s="24"/>
      <c r="C841" s="24"/>
    </row>
    <row r="842" ht="13.1" spans="1:3">
      <c r="A842" s="24"/>
      <c r="B842" s="24"/>
      <c r="C842" s="24"/>
    </row>
    <row r="843" ht="13.1" spans="1:3">
      <c r="A843" s="24"/>
      <c r="B843" s="24"/>
      <c r="C843" s="24"/>
    </row>
    <row r="844" ht="13.1" spans="1:3">
      <c r="A844" s="24"/>
      <c r="B844" s="24"/>
      <c r="C844" s="24"/>
    </row>
    <row r="845" ht="13.1" spans="1:3">
      <c r="A845" s="24"/>
      <c r="B845" s="24"/>
      <c r="C845" s="24"/>
    </row>
    <row r="846" ht="13.1" spans="1:3">
      <c r="A846" s="24"/>
      <c r="B846" s="24"/>
      <c r="C846" s="24"/>
    </row>
    <row r="847" ht="13.1" spans="1:3">
      <c r="A847" s="24"/>
      <c r="B847" s="24"/>
      <c r="C847" s="24"/>
    </row>
    <row r="848" ht="13.1" spans="1:3">
      <c r="A848" s="24"/>
      <c r="B848" s="24"/>
      <c r="C848" s="24"/>
    </row>
    <row r="849" ht="13.1" spans="1:3">
      <c r="A849" s="24"/>
      <c r="B849" s="24"/>
      <c r="C849" s="24"/>
    </row>
    <row r="850" ht="13.1" spans="1:3">
      <c r="A850" s="24"/>
      <c r="B850" s="24"/>
      <c r="C850" s="24"/>
    </row>
    <row r="851" ht="13.1" spans="1:3">
      <c r="A851" s="24"/>
      <c r="B851" s="24"/>
      <c r="C851" s="24"/>
    </row>
    <row r="852" ht="13.1" spans="1:3">
      <c r="A852" s="24"/>
      <c r="B852" s="24"/>
      <c r="C852" s="24"/>
    </row>
    <row r="853" ht="13.1" spans="1:3">
      <c r="A853" s="24"/>
      <c r="B853" s="24"/>
      <c r="C853" s="24"/>
    </row>
    <row r="854" ht="13.1" spans="1:3">
      <c r="A854" s="24"/>
      <c r="B854" s="24"/>
      <c r="C854" s="24"/>
    </row>
    <row r="855" ht="13.1" spans="1:3">
      <c r="A855" s="24"/>
      <c r="B855" s="24"/>
      <c r="C855" s="24"/>
    </row>
    <row r="856" ht="13.1" spans="1:3">
      <c r="A856" s="24"/>
      <c r="B856" s="24"/>
      <c r="C856" s="24"/>
    </row>
    <row r="857" ht="13.1" spans="1:3">
      <c r="A857" s="24"/>
      <c r="B857" s="24"/>
      <c r="C857" s="24"/>
    </row>
    <row r="858" ht="13.1" spans="1:3">
      <c r="A858" s="24"/>
      <c r="B858" s="24"/>
      <c r="C858" s="24"/>
    </row>
    <row r="859" ht="13.1" spans="1:3">
      <c r="A859" s="24"/>
      <c r="B859" s="24"/>
      <c r="C859" s="24"/>
    </row>
    <row r="860" ht="13.1" spans="1:3">
      <c r="A860" s="24"/>
      <c r="B860" s="24"/>
      <c r="C860" s="24"/>
    </row>
    <row r="861" ht="13.1" spans="1:3">
      <c r="A861" s="24"/>
      <c r="B861" s="24"/>
      <c r="C861" s="24"/>
    </row>
    <row r="862" ht="13.1" spans="1:3">
      <c r="A862" s="24"/>
      <c r="B862" s="24"/>
      <c r="C862" s="24"/>
    </row>
    <row r="863" ht="13.1" spans="1:3">
      <c r="A863" s="24"/>
      <c r="B863" s="24"/>
      <c r="C863" s="24"/>
    </row>
    <row r="864" ht="13.1" spans="1:3">
      <c r="A864" s="24"/>
      <c r="B864" s="24"/>
      <c r="C864" s="24"/>
    </row>
    <row r="865" ht="13.1" spans="1:3">
      <c r="A865" s="24"/>
      <c r="B865" s="24"/>
      <c r="C865" s="24"/>
    </row>
    <row r="866" ht="13.1" spans="1:3">
      <c r="A866" s="24"/>
      <c r="B866" s="24"/>
      <c r="C866" s="24"/>
    </row>
    <row r="867" ht="13.1" spans="1:3">
      <c r="A867" s="24"/>
      <c r="B867" s="24"/>
      <c r="C867" s="24"/>
    </row>
    <row r="868" ht="13.1" spans="1:3">
      <c r="A868" s="24"/>
      <c r="B868" s="24"/>
      <c r="C868" s="24"/>
    </row>
    <row r="869" ht="13.1" spans="1:3">
      <c r="A869" s="24"/>
      <c r="B869" s="24"/>
      <c r="C869" s="24"/>
    </row>
    <row r="870" ht="13.1" spans="1:3">
      <c r="A870" s="24"/>
      <c r="B870" s="24"/>
      <c r="C870" s="24"/>
    </row>
    <row r="871" ht="13.1" spans="1:3">
      <c r="A871" s="24"/>
      <c r="B871" s="24"/>
      <c r="C871" s="24"/>
    </row>
    <row r="872" ht="13.1" spans="1:3">
      <c r="A872" s="24"/>
      <c r="B872" s="24"/>
      <c r="C872" s="24"/>
    </row>
    <row r="873" ht="13.1" spans="1:3">
      <c r="A873" s="24"/>
      <c r="B873" s="24"/>
      <c r="C873" s="24"/>
    </row>
    <row r="874" ht="13.1" spans="1:3">
      <c r="A874" s="24"/>
      <c r="B874" s="24"/>
      <c r="C874" s="24"/>
    </row>
    <row r="875" ht="13.1" spans="1:3">
      <c r="A875" s="24"/>
      <c r="B875" s="24"/>
      <c r="C875" s="24"/>
    </row>
    <row r="876" ht="13.1" spans="1:3">
      <c r="A876" s="24"/>
      <c r="B876" s="24"/>
      <c r="C876" s="24"/>
    </row>
    <row r="877" ht="13.1" spans="1:3">
      <c r="A877" s="24"/>
      <c r="B877" s="24"/>
      <c r="C877" s="24"/>
    </row>
    <row r="878" ht="13.1" spans="1:3">
      <c r="A878" s="24"/>
      <c r="B878" s="24"/>
      <c r="C878" s="24"/>
    </row>
    <row r="879" ht="13.1" spans="1:3">
      <c r="A879" s="24"/>
      <c r="B879" s="24"/>
      <c r="C879" s="24"/>
    </row>
    <row r="880" ht="13.1" spans="1:3">
      <c r="A880" s="24"/>
      <c r="B880" s="24"/>
      <c r="C880" s="24"/>
    </row>
    <row r="881" ht="13.1" spans="1:3">
      <c r="A881" s="24"/>
      <c r="B881" s="24"/>
      <c r="C881" s="24"/>
    </row>
    <row r="882" ht="13.1" spans="1:3">
      <c r="A882" s="24"/>
      <c r="B882" s="24"/>
      <c r="C882" s="24"/>
    </row>
    <row r="883" ht="13.1" spans="1:3">
      <c r="A883" s="24"/>
      <c r="B883" s="24"/>
      <c r="C883" s="24"/>
    </row>
    <row r="884" ht="13.1" spans="1:3">
      <c r="A884" s="24"/>
      <c r="B884" s="24"/>
      <c r="C884" s="24"/>
    </row>
    <row r="885" ht="13.1" spans="1:3">
      <c r="A885" s="24"/>
      <c r="B885" s="24"/>
      <c r="C885" s="24"/>
    </row>
    <row r="886" ht="13.1" spans="1:3">
      <c r="A886" s="24"/>
      <c r="B886" s="24"/>
      <c r="C886" s="24"/>
    </row>
    <row r="887" ht="13.1" spans="1:3">
      <c r="A887" s="24"/>
      <c r="B887" s="24"/>
      <c r="C887" s="24"/>
    </row>
    <row r="888" ht="13.1" spans="1:3">
      <c r="A888" s="24"/>
      <c r="B888" s="24"/>
      <c r="C888" s="24"/>
    </row>
    <row r="889" ht="13.1" spans="1:3">
      <c r="A889" s="24"/>
      <c r="B889" s="24"/>
      <c r="C889" s="24"/>
    </row>
    <row r="890" ht="13.1" spans="1:3">
      <c r="A890" s="24"/>
      <c r="B890" s="24"/>
      <c r="C890" s="24"/>
    </row>
    <row r="891" ht="13.1" spans="1:3">
      <c r="A891" s="24"/>
      <c r="B891" s="24"/>
      <c r="C891" s="24"/>
    </row>
    <row r="892" ht="13.1" spans="1:3">
      <c r="A892" s="24"/>
      <c r="B892" s="24"/>
      <c r="C892" s="24"/>
    </row>
    <row r="893" ht="13.1" spans="1:3">
      <c r="A893" s="24"/>
      <c r="B893" s="24"/>
      <c r="C893" s="24"/>
    </row>
    <row r="894" ht="13.1" spans="1:3">
      <c r="A894" s="24"/>
      <c r="B894" s="24"/>
      <c r="C894" s="24"/>
    </row>
    <row r="895" ht="13.1" spans="1:3">
      <c r="A895" s="24"/>
      <c r="B895" s="24"/>
      <c r="C895" s="24"/>
    </row>
    <row r="896" ht="13.1" spans="1:3">
      <c r="A896" s="24"/>
      <c r="B896" s="24"/>
      <c r="C896" s="24"/>
    </row>
    <row r="897" ht="13.1" spans="1:3">
      <c r="A897" s="24"/>
      <c r="B897" s="24"/>
      <c r="C897" s="24"/>
    </row>
    <row r="898" ht="13.1" spans="1:3">
      <c r="A898" s="24"/>
      <c r="B898" s="24"/>
      <c r="C898" s="24"/>
    </row>
    <row r="899" ht="13.1" spans="1:3">
      <c r="A899" s="24"/>
      <c r="B899" s="24"/>
      <c r="C899" s="24"/>
    </row>
    <row r="900" ht="13.1" spans="1:3">
      <c r="A900" s="24"/>
      <c r="B900" s="24"/>
      <c r="C900" s="24"/>
    </row>
    <row r="901" ht="13.1" spans="1:3">
      <c r="A901" s="24"/>
      <c r="B901" s="24"/>
      <c r="C901" s="24"/>
    </row>
    <row r="902" ht="13.1" spans="1:3">
      <c r="A902" s="24"/>
      <c r="B902" s="24"/>
      <c r="C902" s="24"/>
    </row>
    <row r="903" ht="13.1" spans="1:3">
      <c r="A903" s="24"/>
      <c r="B903" s="24"/>
      <c r="C903" s="24"/>
    </row>
    <row r="904" ht="13.1" spans="1:3">
      <c r="A904" s="24"/>
      <c r="B904" s="24"/>
      <c r="C904" s="24"/>
    </row>
    <row r="905" ht="13.1" spans="1:3">
      <c r="A905" s="24"/>
      <c r="B905" s="24"/>
      <c r="C905" s="24"/>
    </row>
    <row r="906" ht="13.1" spans="1:3">
      <c r="A906" s="24"/>
      <c r="B906" s="24"/>
      <c r="C906" s="24"/>
    </row>
    <row r="907" ht="13.1" spans="1:3">
      <c r="A907" s="24"/>
      <c r="B907" s="24"/>
      <c r="C907" s="24"/>
    </row>
    <row r="908" ht="13.1" spans="1:3">
      <c r="A908" s="24"/>
      <c r="B908" s="24"/>
      <c r="C908" s="24"/>
    </row>
    <row r="909" ht="13.1" spans="1:3">
      <c r="A909" s="24"/>
      <c r="B909" s="24"/>
      <c r="C909" s="24"/>
    </row>
    <row r="910" ht="13.1" spans="1:3">
      <c r="A910" s="24"/>
      <c r="B910" s="24"/>
      <c r="C910" s="24"/>
    </row>
    <row r="911" ht="13.1" spans="1:3">
      <c r="A911" s="24"/>
      <c r="B911" s="24"/>
      <c r="C911" s="24"/>
    </row>
    <row r="912" ht="13.1" spans="1:3">
      <c r="A912" s="24"/>
      <c r="B912" s="24"/>
      <c r="C912" s="24"/>
    </row>
    <row r="913" ht="13.1" spans="1:3">
      <c r="A913" s="24"/>
      <c r="B913" s="24"/>
      <c r="C913" s="24"/>
    </row>
    <row r="914" ht="13.1" spans="1:3">
      <c r="A914" s="24"/>
      <c r="B914" s="24"/>
      <c r="C914" s="24"/>
    </row>
    <row r="915" ht="13.1" spans="1:3">
      <c r="A915" s="24"/>
      <c r="B915" s="24"/>
      <c r="C915" s="24"/>
    </row>
    <row r="916" ht="13.1" spans="1:3">
      <c r="A916" s="24"/>
      <c r="B916" s="24"/>
      <c r="C916" s="24"/>
    </row>
    <row r="917" ht="13.1" spans="1:3">
      <c r="A917" s="24"/>
      <c r="B917" s="24"/>
      <c r="C917" s="24"/>
    </row>
    <row r="918" ht="13.1" spans="1:3">
      <c r="A918" s="24"/>
      <c r="B918" s="24"/>
      <c r="C918" s="24"/>
    </row>
    <row r="919" ht="13.1" spans="1:3">
      <c r="A919" s="24"/>
      <c r="B919" s="24"/>
      <c r="C919" s="24"/>
    </row>
    <row r="920" ht="13.1" spans="1:3">
      <c r="A920" s="24"/>
      <c r="B920" s="24"/>
      <c r="C920" s="24"/>
    </row>
    <row r="921" ht="13.1" spans="1:3">
      <c r="A921" s="24"/>
      <c r="B921" s="24"/>
      <c r="C921" s="24"/>
    </row>
    <row r="922" ht="13.1" spans="1:3">
      <c r="A922" s="24"/>
      <c r="B922" s="24"/>
      <c r="C922" s="24"/>
    </row>
    <row r="923" ht="13.1" spans="1:3">
      <c r="A923" s="24"/>
      <c r="B923" s="24"/>
      <c r="C923" s="24"/>
    </row>
    <row r="924" ht="13.1" spans="1:3">
      <c r="A924" s="24"/>
      <c r="B924" s="24"/>
      <c r="C924" s="24"/>
    </row>
    <row r="925" ht="13.1" spans="1:3">
      <c r="A925" s="24"/>
      <c r="B925" s="24"/>
      <c r="C925" s="24"/>
    </row>
    <row r="926" ht="13.1" spans="1:3">
      <c r="A926" s="24"/>
      <c r="B926" s="24"/>
      <c r="C926" s="24"/>
    </row>
    <row r="927" ht="13.1" spans="1:3">
      <c r="A927" s="24"/>
      <c r="B927" s="24"/>
      <c r="C927" s="24"/>
    </row>
    <row r="928" ht="13.1" spans="1:3">
      <c r="A928" s="24"/>
      <c r="B928" s="24"/>
      <c r="C928" s="24"/>
    </row>
    <row r="929" ht="13.1" spans="1:3">
      <c r="A929" s="24"/>
      <c r="B929" s="24"/>
      <c r="C929" s="24"/>
    </row>
    <row r="930" ht="13.1" spans="1:3">
      <c r="A930" s="24"/>
      <c r="B930" s="24"/>
      <c r="C930" s="24"/>
    </row>
    <row r="931" ht="13.1" spans="1:3">
      <c r="A931" s="24"/>
      <c r="B931" s="24"/>
      <c r="C931" s="24"/>
    </row>
    <row r="932" ht="13.1" spans="1:3">
      <c r="A932" s="24"/>
      <c r="B932" s="24"/>
      <c r="C932" s="24"/>
    </row>
    <row r="933" ht="13.1" spans="1:3">
      <c r="A933" s="24"/>
      <c r="B933" s="24"/>
      <c r="C933" s="24"/>
    </row>
    <row r="934" ht="13.1" spans="1:3">
      <c r="A934" s="24"/>
      <c r="B934" s="24"/>
      <c r="C934" s="24"/>
    </row>
    <row r="935" ht="13.1" spans="1:3">
      <c r="A935" s="24"/>
      <c r="B935" s="24"/>
      <c r="C935" s="24"/>
    </row>
    <row r="936" ht="13.1" spans="1:3">
      <c r="A936" s="24"/>
      <c r="B936" s="24"/>
      <c r="C936" s="24"/>
    </row>
    <row r="937" ht="13.1" spans="1:3">
      <c r="A937" s="24"/>
      <c r="B937" s="24"/>
      <c r="C937" s="24"/>
    </row>
    <row r="938" ht="13.1" spans="1:3">
      <c r="A938" s="24"/>
      <c r="B938" s="24"/>
      <c r="C938" s="24"/>
    </row>
    <row r="939" ht="13.1" spans="1:3">
      <c r="A939" s="24"/>
      <c r="B939" s="24"/>
      <c r="C939" s="24"/>
    </row>
    <row r="940" ht="13.1" spans="1:3">
      <c r="A940" s="24"/>
      <c r="B940" s="24"/>
      <c r="C940" s="24"/>
    </row>
    <row r="941" ht="13.1" spans="1:3">
      <c r="A941" s="24"/>
      <c r="B941" s="24"/>
      <c r="C941" s="24"/>
    </row>
    <row r="942" ht="13.1" spans="1:3">
      <c r="A942" s="24"/>
      <c r="B942" s="24"/>
      <c r="C942" s="24"/>
    </row>
    <row r="943" ht="13.1" spans="1:3">
      <c r="A943" s="24"/>
      <c r="B943" s="24"/>
      <c r="C943" s="24"/>
    </row>
    <row r="944" ht="13.1" spans="1:3">
      <c r="A944" s="24"/>
      <c r="B944" s="24"/>
      <c r="C944" s="24"/>
    </row>
    <row r="945" ht="13.1" spans="1:3">
      <c r="A945" s="24"/>
      <c r="B945" s="24"/>
      <c r="C945" s="24"/>
    </row>
    <row r="946" ht="13.1" spans="1:3">
      <c r="A946" s="24"/>
      <c r="B946" s="24"/>
      <c r="C946" s="24"/>
    </row>
    <row r="947" ht="13.1" spans="1:3">
      <c r="A947" s="24"/>
      <c r="B947" s="24"/>
      <c r="C947" s="24"/>
    </row>
    <row r="948" ht="13.1" spans="1:3">
      <c r="A948" s="24"/>
      <c r="B948" s="24"/>
      <c r="C948" s="24"/>
    </row>
    <row r="949" ht="13.1" spans="1:3">
      <c r="A949" s="24"/>
      <c r="B949" s="24"/>
      <c r="C949" s="24"/>
    </row>
    <row r="950" ht="13.1" spans="1:3">
      <c r="A950" s="24"/>
      <c r="B950" s="24"/>
      <c r="C950" s="24"/>
    </row>
    <row r="951" ht="13.1" spans="1:3">
      <c r="A951" s="24"/>
      <c r="B951" s="24"/>
      <c r="C951" s="24"/>
    </row>
    <row r="952" ht="13.1" spans="1:3">
      <c r="A952" s="24"/>
      <c r="B952" s="24"/>
      <c r="C952" s="24"/>
    </row>
    <row r="953" ht="13.1" spans="1:3">
      <c r="A953" s="24"/>
      <c r="B953" s="24"/>
      <c r="C953" s="24"/>
    </row>
    <row r="954" ht="13.1" spans="1:3">
      <c r="A954" s="24"/>
      <c r="B954" s="24"/>
      <c r="C954" s="24"/>
    </row>
    <row r="955" ht="13.1" spans="1:3">
      <c r="A955" s="24"/>
      <c r="B955" s="24"/>
      <c r="C955" s="24"/>
    </row>
    <row r="956" ht="13.1" spans="1:3">
      <c r="A956" s="24"/>
      <c r="B956" s="24"/>
      <c r="C956" s="24"/>
    </row>
    <row r="957" ht="13.1" spans="1:3">
      <c r="A957" s="24"/>
      <c r="B957" s="24"/>
      <c r="C957" s="24"/>
    </row>
    <row r="958" ht="13.1" spans="1:3">
      <c r="A958" s="24"/>
      <c r="B958" s="24"/>
      <c r="C958" s="24"/>
    </row>
    <row r="959" ht="13.1" spans="1:3">
      <c r="A959" s="24"/>
      <c r="B959" s="24"/>
      <c r="C959" s="24"/>
    </row>
    <row r="960" ht="13.1" spans="1:3">
      <c r="A960" s="24"/>
      <c r="B960" s="24"/>
      <c r="C960" s="24"/>
    </row>
    <row r="961" ht="13.1" spans="1:3">
      <c r="A961" s="24"/>
      <c r="B961" s="24"/>
      <c r="C961" s="24"/>
    </row>
    <row r="962" ht="13.1" spans="1:3">
      <c r="A962" s="24"/>
      <c r="B962" s="24"/>
      <c r="C962" s="24"/>
    </row>
    <row r="963" ht="13.1" spans="1:3">
      <c r="A963" s="24"/>
      <c r="B963" s="24"/>
      <c r="C963" s="24"/>
    </row>
    <row r="964" ht="13.1" spans="1:3">
      <c r="A964" s="24"/>
      <c r="B964" s="24"/>
      <c r="C964" s="24"/>
    </row>
    <row r="965" ht="13.1" spans="1:3">
      <c r="A965" s="24"/>
      <c r="B965" s="24"/>
      <c r="C965" s="24"/>
    </row>
    <row r="966" ht="13.1" spans="1:3">
      <c r="A966" s="24"/>
      <c r="B966" s="24"/>
      <c r="C966" s="24"/>
    </row>
    <row r="967" ht="13.1" spans="1:3">
      <c r="A967" s="24"/>
      <c r="B967" s="24"/>
      <c r="C967" s="24"/>
    </row>
    <row r="968" ht="13.1" spans="1:3">
      <c r="A968" s="24"/>
      <c r="B968" s="24"/>
      <c r="C968" s="24"/>
    </row>
    <row r="969" ht="13.1" spans="1:3">
      <c r="A969" s="24"/>
      <c r="B969" s="24"/>
      <c r="C969" s="24"/>
    </row>
    <row r="970" ht="13.1" spans="1:3">
      <c r="A970" s="24"/>
      <c r="B970" s="24"/>
      <c r="C970" s="24"/>
    </row>
    <row r="971" ht="13.1" spans="1:3">
      <c r="A971" s="24"/>
      <c r="B971" s="24"/>
      <c r="C971" s="24"/>
    </row>
    <row r="972" ht="13.1" spans="1:3">
      <c r="A972" s="24"/>
      <c r="B972" s="24"/>
      <c r="C972" s="24"/>
    </row>
    <row r="973" ht="13.1" spans="1:3">
      <c r="A973" s="24"/>
      <c r="B973" s="24"/>
      <c r="C973" s="24"/>
    </row>
    <row r="974" ht="13.1" spans="1:3">
      <c r="A974" s="24"/>
      <c r="B974" s="24"/>
      <c r="C974" s="24"/>
    </row>
    <row r="975" ht="13.1" spans="1:3">
      <c r="A975" s="24"/>
      <c r="B975" s="24"/>
      <c r="C975" s="24"/>
    </row>
    <row r="976" ht="13.1" spans="1:3">
      <c r="A976" s="24"/>
      <c r="B976" s="24"/>
      <c r="C976" s="24"/>
    </row>
    <row r="977" ht="13.1" spans="1:3">
      <c r="A977" s="24"/>
      <c r="B977" s="24"/>
      <c r="C977" s="24"/>
    </row>
    <row r="978" ht="13.1" spans="1:3">
      <c r="A978" s="24"/>
      <c r="B978" s="24"/>
      <c r="C978" s="24"/>
    </row>
    <row r="979" ht="13.1" spans="1:3">
      <c r="A979" s="24"/>
      <c r="B979" s="24"/>
      <c r="C979" s="24"/>
    </row>
    <row r="980" ht="13.1" spans="1:3">
      <c r="A980" s="24"/>
      <c r="B980" s="24"/>
      <c r="C980" s="24"/>
    </row>
    <row r="981" ht="13.1" spans="1:3">
      <c r="A981" s="24"/>
      <c r="B981" s="24"/>
      <c r="C981" s="24"/>
    </row>
    <row r="982" ht="13.1" spans="1:3">
      <c r="A982" s="24"/>
      <c r="B982" s="24"/>
      <c r="C982" s="24"/>
    </row>
    <row r="983" ht="13.1" spans="1:3">
      <c r="A983" s="24"/>
      <c r="B983" s="24"/>
      <c r="C983" s="24"/>
    </row>
    <row r="984" ht="13.1" spans="1:3">
      <c r="A984" s="24"/>
      <c r="B984" s="24"/>
      <c r="C984" s="24"/>
    </row>
    <row r="985" ht="13.1" spans="1:3">
      <c r="A985" s="24"/>
      <c r="B985" s="24"/>
      <c r="C985" s="24"/>
    </row>
    <row r="986" ht="13.1" spans="1:3">
      <c r="A986" s="24"/>
      <c r="B986" s="24"/>
      <c r="C986" s="24"/>
    </row>
    <row r="987" ht="13.1" spans="1:3">
      <c r="A987" s="24"/>
      <c r="B987" s="24"/>
      <c r="C987" s="24"/>
    </row>
    <row r="988" ht="13.1" spans="1:3">
      <c r="A988" s="24"/>
      <c r="B988" s="24"/>
      <c r="C988" s="24"/>
    </row>
    <row r="989" ht="13.1" spans="1:3">
      <c r="A989" s="24"/>
      <c r="B989" s="24"/>
      <c r="C989" s="24"/>
    </row>
    <row r="990" ht="13.1" spans="1:3">
      <c r="A990" s="24"/>
      <c r="B990" s="24"/>
      <c r="C990" s="24"/>
    </row>
    <row r="991" ht="13.1" spans="1:3">
      <c r="A991" s="24"/>
      <c r="B991" s="24"/>
      <c r="C991" s="24"/>
    </row>
    <row r="992" ht="13.1" spans="1:3">
      <c r="A992" s="24"/>
      <c r="B992" s="24"/>
      <c r="C992" s="24"/>
    </row>
    <row r="993" ht="13.1" spans="1:3">
      <c r="A993" s="24"/>
      <c r="B993" s="24"/>
      <c r="C993" s="24"/>
    </row>
    <row r="994" ht="13.1" spans="1:3">
      <c r="A994" s="24"/>
      <c r="B994" s="24"/>
      <c r="C994" s="24"/>
    </row>
    <row r="995" ht="13.1" spans="1:3">
      <c r="A995" s="24"/>
      <c r="B995" s="24"/>
      <c r="C995" s="24"/>
    </row>
    <row r="996" ht="13.1" spans="1:3">
      <c r="A996" s="24"/>
      <c r="B996" s="24"/>
      <c r="C996" s="24"/>
    </row>
    <row r="997" ht="13.1" spans="1:3">
      <c r="A997" s="24"/>
      <c r="B997" s="24"/>
      <c r="C997" s="24"/>
    </row>
    <row r="998" ht="13.1" spans="1:3">
      <c r="A998" s="24"/>
      <c r="B998" s="24"/>
      <c r="C998" s="24"/>
    </row>
    <row r="999" ht="13.1" spans="1:3">
      <c r="A999" s="24"/>
      <c r="B999" s="24"/>
      <c r="C999" s="2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96"/>
  <sheetViews>
    <sheetView workbookViewId="0">
      <selection activeCell="A1" sqref="A1:E8"/>
    </sheetView>
  </sheetViews>
  <sheetFormatPr defaultColWidth="12.6640625" defaultRowHeight="15.75" customHeight="1"/>
  <cols>
    <col min="1" max="1" width="34.3359375" style="1" customWidth="1"/>
    <col min="2" max="2" width="12.1640625" style="1" customWidth="1"/>
    <col min="3" max="3" width="10.1640625" style="1" customWidth="1"/>
    <col min="4" max="4" width="14.6640625" style="1" customWidth="1"/>
    <col min="5" max="5" width="6.8359375" style="1" customWidth="1"/>
    <col min="6" max="16384" width="12.6640625" style="1"/>
  </cols>
  <sheetData>
    <row r="1" ht="13.85" spans="1:5">
      <c r="A1" s="2" t="s">
        <v>28</v>
      </c>
      <c r="B1" s="3" t="s">
        <v>31</v>
      </c>
      <c r="C1" s="3" t="s">
        <v>10</v>
      </c>
      <c r="D1" s="4" t="s">
        <v>41</v>
      </c>
      <c r="E1" s="18" t="s">
        <v>42</v>
      </c>
    </row>
    <row r="2" ht="13.85" spans="1:5">
      <c r="A2" s="5" t="s">
        <v>43</v>
      </c>
      <c r="B2" s="6" t="s">
        <v>44</v>
      </c>
      <c r="C2" s="6" t="s">
        <v>45</v>
      </c>
      <c r="D2" s="7">
        <v>314</v>
      </c>
      <c r="E2" s="19" t="s">
        <v>46</v>
      </c>
    </row>
    <row r="3" ht="13.1" spans="1:5">
      <c r="A3" s="8" t="s">
        <v>47</v>
      </c>
      <c r="B3" s="9" t="s">
        <v>35</v>
      </c>
      <c r="C3" s="9" t="s">
        <v>11</v>
      </c>
      <c r="D3" s="10">
        <v>381</v>
      </c>
      <c r="E3" s="20">
        <v>100</v>
      </c>
    </row>
    <row r="4" ht="17.25" spans="1:25">
      <c r="A4" s="11" t="s">
        <v>48</v>
      </c>
      <c r="B4" s="12" t="s">
        <v>32</v>
      </c>
      <c r="C4" s="12" t="s">
        <v>49</v>
      </c>
      <c r="D4" s="13">
        <v>265</v>
      </c>
      <c r="E4" s="21" t="s">
        <v>50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ht="13.1" spans="1:5">
      <c r="A5" s="8" t="s">
        <v>51</v>
      </c>
      <c r="B5" s="9" t="s">
        <v>52</v>
      </c>
      <c r="C5" s="9" t="s">
        <v>45</v>
      </c>
      <c r="D5" s="10">
        <v>228</v>
      </c>
      <c r="E5" s="20">
        <v>50</v>
      </c>
    </row>
    <row r="6" ht="13.1" spans="1:5">
      <c r="A6" s="11" t="s">
        <v>53</v>
      </c>
      <c r="B6" s="12" t="s">
        <v>52</v>
      </c>
      <c r="C6" s="12" t="s">
        <v>45</v>
      </c>
      <c r="D6" s="13">
        <v>380</v>
      </c>
      <c r="E6" s="21">
        <v>30</v>
      </c>
    </row>
    <row r="7" ht="13.1" spans="1:5">
      <c r="A7" s="8" t="s">
        <v>54</v>
      </c>
      <c r="B7" s="9" t="s">
        <v>44</v>
      </c>
      <c r="C7" s="9" t="s">
        <v>45</v>
      </c>
      <c r="D7" s="10">
        <v>235</v>
      </c>
      <c r="E7" s="20">
        <v>20</v>
      </c>
    </row>
    <row r="8" ht="13.1" spans="1:5">
      <c r="A8" s="14" t="s">
        <v>55</v>
      </c>
      <c r="B8" s="15" t="s">
        <v>44</v>
      </c>
      <c r="C8" s="15" t="s">
        <v>45</v>
      </c>
      <c r="D8" s="16">
        <v>199</v>
      </c>
      <c r="E8" s="23" t="s">
        <v>50</v>
      </c>
    </row>
    <row r="9" customHeight="1" spans="4:4">
      <c r="D9" s="17"/>
    </row>
    <row r="10" customHeight="1" spans="4:4">
      <c r="D10" s="17"/>
    </row>
    <row r="11" customHeight="1" spans="4:4">
      <c r="D11" s="17"/>
    </row>
    <row r="12" customHeight="1" spans="4:4">
      <c r="D12" s="17"/>
    </row>
    <row r="13" customHeight="1" spans="4:4">
      <c r="D13" s="17"/>
    </row>
    <row r="14" customHeight="1" spans="4:4">
      <c r="D14" s="17"/>
    </row>
    <row r="15" customHeight="1" spans="4:4">
      <c r="D15" s="17"/>
    </row>
    <row r="16" customHeight="1" spans="4:4">
      <c r="D16" s="17"/>
    </row>
    <row r="17" customHeight="1" spans="4:4">
      <c r="D17" s="17"/>
    </row>
    <row r="18" customHeight="1" spans="4:4">
      <c r="D18" s="17"/>
    </row>
    <row r="19" customHeight="1" spans="4:4">
      <c r="D19" s="17"/>
    </row>
    <row r="20" customHeight="1" spans="4:4">
      <c r="D20" s="17"/>
    </row>
    <row r="21" customHeight="1" spans="4:4">
      <c r="D21" s="17"/>
    </row>
    <row r="22" customHeight="1" spans="4:4">
      <c r="D22" s="17"/>
    </row>
    <row r="23" customHeight="1" spans="4:4">
      <c r="D23" s="17"/>
    </row>
    <row r="24" customHeight="1" spans="4:4">
      <c r="D24" s="17"/>
    </row>
    <row r="25" customHeight="1" spans="4:4">
      <c r="D25" s="17"/>
    </row>
    <row r="26" customHeight="1" spans="4:4">
      <c r="D26" s="17"/>
    </row>
    <row r="27" customHeight="1" spans="4:4">
      <c r="D27" s="17"/>
    </row>
    <row r="28" customHeight="1" spans="4:4">
      <c r="D28" s="17"/>
    </row>
    <row r="29" customHeight="1" spans="4:4">
      <c r="D29" s="17"/>
    </row>
    <row r="30" customHeight="1" spans="4:4">
      <c r="D30" s="17"/>
    </row>
    <row r="31" customHeight="1" spans="4:4">
      <c r="D31" s="17"/>
    </row>
    <row r="32" customHeight="1" spans="4:4">
      <c r="D32" s="17"/>
    </row>
    <row r="33" customHeight="1" spans="4:4">
      <c r="D33" s="17"/>
    </row>
    <row r="34" customHeight="1" spans="4:4">
      <c r="D34" s="17"/>
    </row>
    <row r="35" customHeight="1" spans="4:4">
      <c r="D35" s="17"/>
    </row>
    <row r="36" customHeight="1" spans="4:4">
      <c r="D36" s="17"/>
    </row>
    <row r="37" customHeight="1" spans="4:4">
      <c r="D37" s="17"/>
    </row>
    <row r="38" customHeight="1" spans="4:4">
      <c r="D38" s="17"/>
    </row>
    <row r="39" customHeight="1" spans="4:4">
      <c r="D39" s="17"/>
    </row>
    <row r="40" customHeight="1" spans="4:4">
      <c r="D40" s="17"/>
    </row>
    <row r="41" customHeight="1" spans="4:4">
      <c r="D41" s="17"/>
    </row>
    <row r="42" customHeight="1" spans="4:4">
      <c r="D42" s="17"/>
    </row>
    <row r="43" customHeight="1" spans="4:4">
      <c r="D43" s="17"/>
    </row>
    <row r="44" customHeight="1" spans="4:4">
      <c r="D44" s="17"/>
    </row>
    <row r="45" customHeight="1" spans="4:4">
      <c r="D45" s="17"/>
    </row>
    <row r="46" customHeight="1" spans="4:4">
      <c r="D46" s="17"/>
    </row>
    <row r="47" customHeight="1" spans="4:4">
      <c r="D47" s="17"/>
    </row>
    <row r="48" customHeight="1" spans="4:4">
      <c r="D48" s="17"/>
    </row>
    <row r="49" customHeight="1" spans="4:4">
      <c r="D49" s="17"/>
    </row>
    <row r="50" customHeight="1" spans="4:4">
      <c r="D50" s="17"/>
    </row>
    <row r="51" ht="17.25" spans="4:4">
      <c r="D51" s="17"/>
    </row>
    <row r="52" ht="17.25" spans="4:4">
      <c r="D52" s="17"/>
    </row>
    <row r="53" ht="17.25" spans="4:4">
      <c r="D53" s="17"/>
    </row>
    <row r="54" ht="17.25" spans="4:4">
      <c r="D54" s="17"/>
    </row>
    <row r="55" ht="17.25" spans="4:4">
      <c r="D55" s="17"/>
    </row>
    <row r="56" ht="17.25" spans="4:4">
      <c r="D56" s="17"/>
    </row>
    <row r="57" ht="17.25" spans="4:4">
      <c r="D57" s="17"/>
    </row>
    <row r="58" ht="17.25" spans="4:4">
      <c r="D58" s="17"/>
    </row>
    <row r="59" ht="17.25" spans="4:4">
      <c r="D59" s="17"/>
    </row>
    <row r="60" ht="17.25" spans="4:4">
      <c r="D60" s="17"/>
    </row>
    <row r="61" ht="17.25" spans="4:4">
      <c r="D61" s="17"/>
    </row>
    <row r="62" ht="17.25" spans="4:4">
      <c r="D62" s="17"/>
    </row>
    <row r="63" ht="17.25" spans="4:4">
      <c r="D63" s="17"/>
    </row>
    <row r="64" ht="17.25" spans="4:4">
      <c r="D64" s="17"/>
    </row>
    <row r="65" ht="17.25" spans="4:4">
      <c r="D65" s="17"/>
    </row>
    <row r="66" ht="17.25" spans="4:4">
      <c r="D66" s="17"/>
    </row>
    <row r="67" ht="17.25" spans="4:4">
      <c r="D67" s="17"/>
    </row>
    <row r="68" ht="17.25" spans="4:4">
      <c r="D68" s="17"/>
    </row>
    <row r="69" ht="17.25" spans="4:4">
      <c r="D69" s="17"/>
    </row>
    <row r="70" ht="17.25" spans="4:4">
      <c r="D70" s="17"/>
    </row>
    <row r="71" ht="17.25" spans="4:4">
      <c r="D71" s="17"/>
    </row>
    <row r="72" ht="17.25" spans="4:4">
      <c r="D72" s="17"/>
    </row>
    <row r="73" ht="17.25" spans="4:4">
      <c r="D73" s="17"/>
    </row>
    <row r="74" ht="17.25" spans="4:4">
      <c r="D74" s="17"/>
    </row>
    <row r="75" ht="17.25" spans="4:4">
      <c r="D75" s="17"/>
    </row>
    <row r="76" ht="17.25" spans="4:4">
      <c r="D76" s="17"/>
    </row>
    <row r="77" ht="17.25" spans="4:4">
      <c r="D77" s="17"/>
    </row>
    <row r="78" ht="17.25" spans="4:4">
      <c r="D78" s="17"/>
    </row>
    <row r="79" ht="17.25" spans="4:4">
      <c r="D79" s="17"/>
    </row>
    <row r="80" ht="17.25" spans="4:4">
      <c r="D80" s="17"/>
    </row>
    <row r="81" ht="17.25" spans="4:4">
      <c r="D81" s="17"/>
    </row>
    <row r="82" ht="17.25" spans="4:4">
      <c r="D82" s="17"/>
    </row>
    <row r="83" ht="17.25" spans="4:4">
      <c r="D83" s="17"/>
    </row>
    <row r="84" ht="17.25" spans="4:4">
      <c r="D84" s="17"/>
    </row>
    <row r="85" ht="17.25" spans="4:4">
      <c r="D85" s="17"/>
    </row>
    <row r="86" ht="17.25" spans="4:4">
      <c r="D86" s="17"/>
    </row>
    <row r="87" ht="17.25" spans="4:4">
      <c r="D87" s="17"/>
    </row>
    <row r="88" ht="17.25" spans="4:4">
      <c r="D88" s="17"/>
    </row>
    <row r="89" ht="17.25" spans="4:4">
      <c r="D89" s="17"/>
    </row>
    <row r="90" ht="17.25" spans="4:4">
      <c r="D90" s="17"/>
    </row>
    <row r="91" ht="17.25" spans="4:4">
      <c r="D91" s="17"/>
    </row>
    <row r="92" ht="17.25" spans="4:4">
      <c r="D92" s="17"/>
    </row>
    <row r="93" ht="17.25" spans="4:4">
      <c r="D93" s="17"/>
    </row>
    <row r="94" ht="17.25" spans="4:4">
      <c r="D94" s="17"/>
    </row>
    <row r="95" ht="17.25" spans="4:4">
      <c r="D95" s="17"/>
    </row>
    <row r="96" ht="17.25" spans="4:4">
      <c r="D96" s="17"/>
    </row>
    <row r="97" ht="17.25" spans="4:4">
      <c r="D97" s="17"/>
    </row>
    <row r="98" ht="17.25" spans="4:4">
      <c r="D98" s="17"/>
    </row>
    <row r="99" ht="17.25" spans="4:4">
      <c r="D99" s="17"/>
    </row>
    <row r="100" ht="17.25" spans="4:4">
      <c r="D100" s="17"/>
    </row>
    <row r="101" ht="17.25" spans="4:4">
      <c r="D101" s="17"/>
    </row>
    <row r="102" ht="17.25" spans="4:4">
      <c r="D102" s="17"/>
    </row>
    <row r="103" ht="17.25" spans="4:4">
      <c r="D103" s="17"/>
    </row>
    <row r="104" ht="17.25" spans="4:4">
      <c r="D104" s="17"/>
    </row>
    <row r="105" ht="17.25" spans="4:4">
      <c r="D105" s="17"/>
    </row>
    <row r="106" ht="17.25" spans="4:4">
      <c r="D106" s="17"/>
    </row>
    <row r="107" ht="17.25" spans="4:4">
      <c r="D107" s="17"/>
    </row>
    <row r="108" ht="17.25" spans="4:4">
      <c r="D108" s="17"/>
    </row>
    <row r="109" ht="17.25" spans="4:4">
      <c r="D109" s="17"/>
    </row>
    <row r="110" ht="17.25" spans="4:4">
      <c r="D110" s="17"/>
    </row>
    <row r="111" ht="17.25" spans="4:4">
      <c r="D111" s="17"/>
    </row>
    <row r="112" ht="17.25" spans="4:4">
      <c r="D112" s="17"/>
    </row>
    <row r="113" ht="17.25" spans="4:4">
      <c r="D113" s="17"/>
    </row>
    <row r="114" ht="17.25" spans="4:4">
      <c r="D114" s="17"/>
    </row>
    <row r="115" ht="17.25" spans="4:4">
      <c r="D115" s="17"/>
    </row>
    <row r="116" ht="17.25" spans="4:4">
      <c r="D116" s="17"/>
    </row>
    <row r="117" ht="17.25" spans="4:4">
      <c r="D117" s="17"/>
    </row>
    <row r="118" ht="17.25" spans="4:4">
      <c r="D118" s="17"/>
    </row>
    <row r="119" ht="17.25" spans="4:4">
      <c r="D119" s="17"/>
    </row>
    <row r="120" ht="17.25" spans="4:4">
      <c r="D120" s="17"/>
    </row>
    <row r="121" ht="17.25" spans="4:4">
      <c r="D121" s="17"/>
    </row>
    <row r="122" ht="17.25" spans="4:4">
      <c r="D122" s="17"/>
    </row>
    <row r="123" ht="17.25" spans="4:4">
      <c r="D123" s="17"/>
    </row>
    <row r="124" ht="17.25" spans="4:4">
      <c r="D124" s="17"/>
    </row>
    <row r="125" ht="17.25" spans="4:4">
      <c r="D125" s="17"/>
    </row>
    <row r="126" ht="17.25" spans="4:4">
      <c r="D126" s="17"/>
    </row>
    <row r="127" ht="17.25" spans="4:4">
      <c r="D127" s="17"/>
    </row>
    <row r="128" ht="17.25" spans="4:4">
      <c r="D128" s="17"/>
    </row>
    <row r="129" ht="17.25" spans="4:4">
      <c r="D129" s="17"/>
    </row>
    <row r="130" ht="17.25" spans="4:4">
      <c r="D130" s="17"/>
    </row>
    <row r="131" ht="17.25" spans="4:4">
      <c r="D131" s="17"/>
    </row>
    <row r="132" ht="17.25" spans="4:4">
      <c r="D132" s="17"/>
    </row>
    <row r="133" ht="17.25" spans="4:4">
      <c r="D133" s="17"/>
    </row>
    <row r="134" ht="17.25" spans="4:4">
      <c r="D134" s="17"/>
    </row>
    <row r="135" ht="17.25" spans="4:4">
      <c r="D135" s="17"/>
    </row>
    <row r="136" ht="17.25" spans="4:4">
      <c r="D136" s="17"/>
    </row>
    <row r="137" ht="17.25" spans="4:4">
      <c r="D137" s="17"/>
    </row>
    <row r="138" ht="17.25" spans="4:4">
      <c r="D138" s="17"/>
    </row>
    <row r="139" ht="17.25" spans="4:4">
      <c r="D139" s="17"/>
    </row>
    <row r="140" ht="17.25" spans="4:4">
      <c r="D140" s="17"/>
    </row>
    <row r="141" ht="17.25" spans="4:4">
      <c r="D141" s="17"/>
    </row>
    <row r="142" ht="17.25" spans="4:4">
      <c r="D142" s="17"/>
    </row>
    <row r="143" ht="17.25" spans="4:4">
      <c r="D143" s="17"/>
    </row>
    <row r="144" ht="17.25" spans="4:4">
      <c r="D144" s="17"/>
    </row>
    <row r="145" ht="17.25" spans="4:4">
      <c r="D145" s="17"/>
    </row>
    <row r="146" ht="17.25" spans="4:4">
      <c r="D146" s="17"/>
    </row>
    <row r="147" ht="17.25" spans="4:4">
      <c r="D147" s="17"/>
    </row>
    <row r="148" ht="17.25" spans="4:4">
      <c r="D148" s="17"/>
    </row>
    <row r="149" ht="17.25" spans="4:4">
      <c r="D149" s="17"/>
    </row>
    <row r="150" ht="17.25" spans="4:4">
      <c r="D150" s="17"/>
    </row>
    <row r="151" ht="17.25" spans="4:4">
      <c r="D151" s="17"/>
    </row>
    <row r="152" ht="17.25" spans="4:4">
      <c r="D152" s="17"/>
    </row>
    <row r="153" ht="17.25" spans="4:4">
      <c r="D153" s="17"/>
    </row>
    <row r="154" ht="17.25" spans="4:4">
      <c r="D154" s="17"/>
    </row>
    <row r="155" ht="17.25" spans="4:4">
      <c r="D155" s="17"/>
    </row>
    <row r="156" ht="17.25" spans="4:4">
      <c r="D156" s="17"/>
    </row>
    <row r="157" ht="17.25" spans="4:4">
      <c r="D157" s="17"/>
    </row>
    <row r="158" ht="17.25" spans="4:4">
      <c r="D158" s="17"/>
    </row>
    <row r="159" ht="17.25" spans="4:4">
      <c r="D159" s="17"/>
    </row>
    <row r="160" ht="17.25" spans="4:4">
      <c r="D160" s="17"/>
    </row>
    <row r="161" ht="17.25" spans="4:4">
      <c r="D161" s="17"/>
    </row>
    <row r="162" ht="17.25" spans="4:4">
      <c r="D162" s="17"/>
    </row>
    <row r="163" ht="17.25" spans="4:4">
      <c r="D163" s="17"/>
    </row>
    <row r="164" ht="17.25" spans="4:4">
      <c r="D164" s="17"/>
    </row>
    <row r="165" ht="17.25" spans="4:4">
      <c r="D165" s="17"/>
    </row>
    <row r="166" ht="17.25" spans="4:4">
      <c r="D166" s="17"/>
    </row>
    <row r="167" ht="17.25" spans="4:4">
      <c r="D167" s="17"/>
    </row>
    <row r="168" ht="17.25" spans="4:4">
      <c r="D168" s="17"/>
    </row>
    <row r="169" ht="17.25" spans="4:4">
      <c r="D169" s="17"/>
    </row>
    <row r="170" ht="17.25" spans="4:4">
      <c r="D170" s="17"/>
    </row>
    <row r="171" ht="17.25" spans="4:4">
      <c r="D171" s="17"/>
    </row>
    <row r="172" ht="17.25" spans="4:4">
      <c r="D172" s="17"/>
    </row>
    <row r="173" ht="17.25" spans="4:4">
      <c r="D173" s="17"/>
    </row>
    <row r="174" ht="17.25" spans="4:4">
      <c r="D174" s="17"/>
    </row>
    <row r="175" ht="17.25" spans="4:4">
      <c r="D175" s="17"/>
    </row>
    <row r="176" ht="17.25" spans="4:4">
      <c r="D176" s="17"/>
    </row>
    <row r="177" ht="17.25" spans="4:4">
      <c r="D177" s="17"/>
    </row>
    <row r="178" ht="17.25" spans="4:4">
      <c r="D178" s="17"/>
    </row>
    <row r="179" ht="17.25" spans="4:4">
      <c r="D179" s="17"/>
    </row>
    <row r="180" ht="17.25" spans="4:4">
      <c r="D180" s="17"/>
    </row>
    <row r="181" ht="17.25" spans="4:4">
      <c r="D181" s="17"/>
    </row>
    <row r="182" ht="17.25" spans="4:4">
      <c r="D182" s="17"/>
    </row>
    <row r="183" ht="17.25" spans="4:4">
      <c r="D183" s="17"/>
    </row>
    <row r="184" ht="17.25" spans="4:4">
      <c r="D184" s="17"/>
    </row>
    <row r="185" ht="17.25" spans="4:4">
      <c r="D185" s="17"/>
    </row>
    <row r="186" ht="17.25" spans="4:4">
      <c r="D186" s="17"/>
    </row>
    <row r="187" ht="17.25" spans="4:4">
      <c r="D187" s="17"/>
    </row>
    <row r="188" ht="17.25" spans="4:4">
      <c r="D188" s="17"/>
    </row>
    <row r="189" ht="17.25" spans="4:4">
      <c r="D189" s="17"/>
    </row>
    <row r="190" ht="17.25" spans="4:4">
      <c r="D190" s="17"/>
    </row>
    <row r="191" ht="17.25" spans="4:4">
      <c r="D191" s="17"/>
    </row>
    <row r="192" ht="17.25" spans="4:4">
      <c r="D192" s="17"/>
    </row>
    <row r="193" ht="17.25" spans="4:4">
      <c r="D193" s="17"/>
    </row>
    <row r="194" ht="17.25" spans="4:4">
      <c r="D194" s="17"/>
    </row>
    <row r="195" ht="17.25" spans="4:4">
      <c r="D195" s="17"/>
    </row>
    <row r="196" ht="17.25" spans="4:4">
      <c r="D196" s="17"/>
    </row>
    <row r="197" ht="17.25" spans="4:4">
      <c r="D197" s="17"/>
    </row>
    <row r="198" ht="17.25" spans="4:4">
      <c r="D198" s="17"/>
    </row>
    <row r="199" ht="17.25" spans="4:4">
      <c r="D199" s="17"/>
    </row>
    <row r="200" ht="17.25" spans="4:4">
      <c r="D200" s="17"/>
    </row>
    <row r="201" ht="17.25" spans="4:4">
      <c r="D201" s="17"/>
    </row>
    <row r="202" ht="17.25" spans="4:4">
      <c r="D202" s="17"/>
    </row>
    <row r="203" ht="17.25" spans="4:4">
      <c r="D203" s="17"/>
    </row>
    <row r="204" ht="17.25" spans="4:4">
      <c r="D204" s="17"/>
    </row>
    <row r="205" ht="17.25" spans="4:4">
      <c r="D205" s="17"/>
    </row>
    <row r="206" ht="17.25" spans="4:4">
      <c r="D206" s="17"/>
    </row>
    <row r="207" ht="17.25" spans="4:4">
      <c r="D207" s="17"/>
    </row>
    <row r="208" ht="17.25" spans="4:4">
      <c r="D208" s="17"/>
    </row>
    <row r="209" ht="17.25" spans="4:4">
      <c r="D209" s="17"/>
    </row>
    <row r="210" ht="17.25" spans="4:4">
      <c r="D210" s="17"/>
    </row>
    <row r="211" ht="17.25" spans="4:4">
      <c r="D211" s="17"/>
    </row>
    <row r="212" ht="17.25" spans="4:4">
      <c r="D212" s="17"/>
    </row>
    <row r="213" ht="17.25" spans="4:4">
      <c r="D213" s="17"/>
    </row>
    <row r="214" ht="17.25" spans="4:4">
      <c r="D214" s="17"/>
    </row>
    <row r="215" ht="17.25" spans="4:4">
      <c r="D215" s="17"/>
    </row>
    <row r="216" ht="17.25" spans="4:4">
      <c r="D216" s="17"/>
    </row>
    <row r="217" ht="17.25" spans="4:4">
      <c r="D217" s="17"/>
    </row>
    <row r="218" ht="17.25" spans="4:4">
      <c r="D218" s="17"/>
    </row>
    <row r="219" ht="17.25" spans="4:4">
      <c r="D219" s="17"/>
    </row>
    <row r="220" ht="17.25" spans="4:4">
      <c r="D220" s="17"/>
    </row>
    <row r="221" ht="17.25" spans="4:4">
      <c r="D221" s="17"/>
    </row>
    <row r="222" ht="17.25" spans="4:4">
      <c r="D222" s="17"/>
    </row>
    <row r="223" ht="17.25" spans="4:4">
      <c r="D223" s="17"/>
    </row>
    <row r="224" ht="17.25" spans="4:4">
      <c r="D224" s="17"/>
    </row>
    <row r="225" ht="17.25" spans="4:4">
      <c r="D225" s="17"/>
    </row>
    <row r="226" ht="17.25" spans="4:4">
      <c r="D226" s="17"/>
    </row>
    <row r="227" ht="17.25" spans="4:4">
      <c r="D227" s="17"/>
    </row>
    <row r="228" ht="17.25" spans="4:4">
      <c r="D228" s="17"/>
    </row>
    <row r="229" ht="17.25" spans="4:4">
      <c r="D229" s="17"/>
    </row>
    <row r="230" ht="17.25" spans="4:4">
      <c r="D230" s="17"/>
    </row>
    <row r="231" ht="17.25" spans="4:4">
      <c r="D231" s="17"/>
    </row>
    <row r="232" ht="17.25" spans="4:4">
      <c r="D232" s="17"/>
    </row>
    <row r="233" ht="17.25" spans="4:4">
      <c r="D233" s="17"/>
    </row>
    <row r="234" ht="17.25" spans="4:4">
      <c r="D234" s="17"/>
    </row>
    <row r="235" ht="17.25" spans="4:4">
      <c r="D235" s="17"/>
    </row>
    <row r="236" ht="17.25" spans="4:4">
      <c r="D236" s="17"/>
    </row>
    <row r="237" ht="17.25" spans="4:4">
      <c r="D237" s="17"/>
    </row>
    <row r="238" ht="17.25" spans="4:4">
      <c r="D238" s="17"/>
    </row>
    <row r="239" ht="17.25" spans="4:4">
      <c r="D239" s="17"/>
    </row>
    <row r="240" ht="17.25" spans="4:4">
      <c r="D240" s="17"/>
    </row>
    <row r="241" ht="17.25" spans="4:4">
      <c r="D241" s="17"/>
    </row>
    <row r="242" ht="17.25" spans="4:4">
      <c r="D242" s="17"/>
    </row>
    <row r="243" ht="17.25" spans="4:4">
      <c r="D243" s="17"/>
    </row>
    <row r="244" ht="17.25" spans="4:4">
      <c r="D244" s="17"/>
    </row>
    <row r="245" ht="17.25" spans="4:4">
      <c r="D245" s="17"/>
    </row>
    <row r="246" ht="17.25" spans="4:4">
      <c r="D246" s="17"/>
    </row>
    <row r="247" ht="17.25" spans="4:4">
      <c r="D247" s="17"/>
    </row>
    <row r="248" ht="17.25" spans="4:4">
      <c r="D248" s="17"/>
    </row>
    <row r="249" ht="17.25" spans="4:4">
      <c r="D249" s="17"/>
    </row>
    <row r="250" ht="17.25" spans="4:4">
      <c r="D250" s="17"/>
    </row>
    <row r="251" ht="17.25" spans="4:4">
      <c r="D251" s="17"/>
    </row>
    <row r="252" ht="17.25" spans="4:4">
      <c r="D252" s="17"/>
    </row>
    <row r="253" ht="17.25" spans="4:4">
      <c r="D253" s="17"/>
    </row>
    <row r="254" ht="17.25" spans="4:4">
      <c r="D254" s="17"/>
    </row>
    <row r="255" ht="17.25" spans="4:4">
      <c r="D255" s="17"/>
    </row>
    <row r="256" ht="17.25" spans="4:4">
      <c r="D256" s="17"/>
    </row>
    <row r="257" ht="17.25" spans="4:4">
      <c r="D257" s="17"/>
    </row>
    <row r="258" ht="17.25" spans="4:4">
      <c r="D258" s="17"/>
    </row>
    <row r="259" ht="17.25" spans="4:4">
      <c r="D259" s="17"/>
    </row>
    <row r="260" ht="17.25" spans="4:4">
      <c r="D260" s="17"/>
    </row>
    <row r="261" ht="17.25" spans="4:4">
      <c r="D261" s="17"/>
    </row>
    <row r="262" ht="17.25" spans="4:4">
      <c r="D262" s="17"/>
    </row>
    <row r="263" ht="17.25" spans="4:4">
      <c r="D263" s="17"/>
    </row>
    <row r="264" ht="17.25" spans="4:4">
      <c r="D264" s="17"/>
    </row>
    <row r="265" ht="17.25" spans="4:4">
      <c r="D265" s="17"/>
    </row>
    <row r="266" ht="17.25" spans="4:4">
      <c r="D266" s="17"/>
    </row>
    <row r="267" ht="17.25" spans="4:4">
      <c r="D267" s="17"/>
    </row>
    <row r="268" ht="17.25" spans="4:4">
      <c r="D268" s="17"/>
    </row>
    <row r="269" ht="17.25" spans="4:4">
      <c r="D269" s="17"/>
    </row>
    <row r="270" ht="17.25" spans="4:4">
      <c r="D270" s="17"/>
    </row>
    <row r="271" ht="17.25" spans="4:4">
      <c r="D271" s="17"/>
    </row>
    <row r="272" ht="17.25" spans="4:4">
      <c r="D272" s="17"/>
    </row>
    <row r="273" ht="17.25" spans="4:4">
      <c r="D273" s="17"/>
    </row>
    <row r="274" ht="17.25" spans="4:4">
      <c r="D274" s="17"/>
    </row>
    <row r="275" ht="17.25" spans="4:4">
      <c r="D275" s="17"/>
    </row>
    <row r="276" ht="17.25" spans="4:4">
      <c r="D276" s="17"/>
    </row>
    <row r="277" ht="17.25" spans="4:4">
      <c r="D277" s="17"/>
    </row>
    <row r="278" ht="17.25" spans="4:4">
      <c r="D278" s="17"/>
    </row>
    <row r="279" ht="17.25" spans="4:4">
      <c r="D279" s="17"/>
    </row>
    <row r="280" ht="17.25" spans="4:4">
      <c r="D280" s="17"/>
    </row>
    <row r="281" ht="17.25" spans="4:4">
      <c r="D281" s="17"/>
    </row>
    <row r="282" ht="17.25" spans="4:4">
      <c r="D282" s="17"/>
    </row>
    <row r="283" ht="17.25" spans="4:4">
      <c r="D283" s="17"/>
    </row>
    <row r="284" ht="17.25" spans="4:4">
      <c r="D284" s="17"/>
    </row>
    <row r="285" ht="17.25" spans="4:4">
      <c r="D285" s="17"/>
    </row>
    <row r="286" ht="17.25" spans="4:4">
      <c r="D286" s="17"/>
    </row>
    <row r="287" ht="17.25" spans="4:4">
      <c r="D287" s="17"/>
    </row>
    <row r="288" ht="17.25" spans="4:4">
      <c r="D288" s="17"/>
    </row>
    <row r="289" ht="17.25" spans="4:4">
      <c r="D289" s="17"/>
    </row>
    <row r="290" ht="17.25" spans="4:4">
      <c r="D290" s="17"/>
    </row>
    <row r="291" ht="17.25" spans="4:4">
      <c r="D291" s="17"/>
    </row>
    <row r="292" ht="17.25" spans="4:4">
      <c r="D292" s="17"/>
    </row>
    <row r="293" ht="17.25" spans="4:4">
      <c r="D293" s="17"/>
    </row>
    <row r="294" ht="17.25" spans="4:4">
      <c r="D294" s="17"/>
    </row>
    <row r="295" ht="17.25" spans="4:4">
      <c r="D295" s="17"/>
    </row>
    <row r="296" ht="17.25" spans="4:4">
      <c r="D296" s="17"/>
    </row>
    <row r="297" ht="17.25" spans="4:4">
      <c r="D297" s="17"/>
    </row>
    <row r="298" ht="17.25" spans="4:4">
      <c r="D298" s="17"/>
    </row>
    <row r="299" ht="17.25" spans="4:4">
      <c r="D299" s="17"/>
    </row>
    <row r="300" ht="17.25" spans="4:4">
      <c r="D300" s="17"/>
    </row>
    <row r="301" ht="17.25" spans="4:4">
      <c r="D301" s="17"/>
    </row>
    <row r="302" ht="17.25" spans="4:4">
      <c r="D302" s="17"/>
    </row>
    <row r="303" ht="17.25" spans="4:4">
      <c r="D303" s="17"/>
    </row>
    <row r="304" ht="17.25" spans="4:4">
      <c r="D304" s="17"/>
    </row>
    <row r="305" ht="17.25" spans="4:4">
      <c r="D305" s="17"/>
    </row>
    <row r="306" ht="17.25" spans="4:4">
      <c r="D306" s="17"/>
    </row>
    <row r="307" ht="17.25" spans="4:4">
      <c r="D307" s="17"/>
    </row>
    <row r="308" ht="17.25" spans="4:4">
      <c r="D308" s="17"/>
    </row>
    <row r="309" ht="17.25" spans="4:4">
      <c r="D309" s="17"/>
    </row>
    <row r="310" ht="17.25" spans="4:4">
      <c r="D310" s="17"/>
    </row>
    <row r="311" ht="17.25" spans="4:4">
      <c r="D311" s="17"/>
    </row>
    <row r="312" ht="17.25" spans="4:4">
      <c r="D312" s="17"/>
    </row>
    <row r="313" ht="17.25" spans="4:4">
      <c r="D313" s="17"/>
    </row>
    <row r="314" ht="17.25" spans="4:4">
      <c r="D314" s="17"/>
    </row>
    <row r="315" ht="17.25" spans="4:4">
      <c r="D315" s="17"/>
    </row>
    <row r="316" ht="17.25" spans="4:4">
      <c r="D316" s="17"/>
    </row>
    <row r="317" ht="17.25" spans="4:4">
      <c r="D317" s="17"/>
    </row>
    <row r="318" ht="17.25" spans="4:4">
      <c r="D318" s="17"/>
    </row>
    <row r="319" ht="17.25" spans="4:4">
      <c r="D319" s="17"/>
    </row>
    <row r="320" ht="17.25" spans="4:4">
      <c r="D320" s="17"/>
    </row>
    <row r="321" ht="17.25" spans="4:4">
      <c r="D321" s="17"/>
    </row>
    <row r="322" ht="17.25" spans="4:4">
      <c r="D322" s="17"/>
    </row>
    <row r="323" ht="17.25" spans="4:4">
      <c r="D323" s="17"/>
    </row>
    <row r="324" ht="17.25" spans="4:4">
      <c r="D324" s="17"/>
    </row>
    <row r="325" ht="17.25" spans="4:4">
      <c r="D325" s="17"/>
    </row>
    <row r="326" ht="17.25" spans="4:4">
      <c r="D326" s="17"/>
    </row>
    <row r="327" ht="17.25" spans="4:4">
      <c r="D327" s="17"/>
    </row>
    <row r="328" ht="17.25" spans="4:4">
      <c r="D328" s="17"/>
    </row>
    <row r="329" ht="17.25" spans="4:4">
      <c r="D329" s="17"/>
    </row>
    <row r="330" ht="17.25" spans="4:4">
      <c r="D330" s="17"/>
    </row>
    <row r="331" ht="17.25" spans="4:4">
      <c r="D331" s="17"/>
    </row>
    <row r="332" ht="17.25" spans="4:4">
      <c r="D332" s="17"/>
    </row>
    <row r="333" ht="17.25" spans="4:4">
      <c r="D333" s="17"/>
    </row>
    <row r="334" ht="17.25" spans="4:4">
      <c r="D334" s="17"/>
    </row>
    <row r="335" ht="17.25" spans="4:4">
      <c r="D335" s="17"/>
    </row>
    <row r="336" ht="17.25" spans="4:4">
      <c r="D336" s="17"/>
    </row>
    <row r="337" ht="17.25" spans="4:4">
      <c r="D337" s="17"/>
    </row>
    <row r="338" ht="17.25" spans="4:4">
      <c r="D338" s="17"/>
    </row>
    <row r="339" ht="17.25" spans="4:4">
      <c r="D339" s="17"/>
    </row>
    <row r="340" ht="17.25" spans="4:4">
      <c r="D340" s="17"/>
    </row>
    <row r="341" ht="17.25" spans="4:4">
      <c r="D341" s="17"/>
    </row>
    <row r="342" ht="17.25" spans="4:4">
      <c r="D342" s="17"/>
    </row>
    <row r="343" ht="17.25" spans="4:4">
      <c r="D343" s="17"/>
    </row>
    <row r="344" ht="17.25" spans="4:4">
      <c r="D344" s="17"/>
    </row>
    <row r="345" ht="17.25" spans="4:4">
      <c r="D345" s="17"/>
    </row>
    <row r="346" ht="17.25" spans="4:4">
      <c r="D346" s="17"/>
    </row>
    <row r="347" ht="17.25" spans="4:4">
      <c r="D347" s="17"/>
    </row>
    <row r="348" ht="17.25" spans="4:4">
      <c r="D348" s="17"/>
    </row>
    <row r="349" ht="17.25" spans="4:4">
      <c r="D349" s="17"/>
    </row>
    <row r="350" ht="17.25" spans="4:4">
      <c r="D350" s="17"/>
    </row>
    <row r="351" ht="17.25" spans="4:4">
      <c r="D351" s="17"/>
    </row>
    <row r="352" ht="17.25" spans="4:4">
      <c r="D352" s="17"/>
    </row>
    <row r="353" ht="17.25" spans="4:4">
      <c r="D353" s="17"/>
    </row>
    <row r="354" ht="17.25" spans="4:4">
      <c r="D354" s="17"/>
    </row>
    <row r="355" ht="17.25" spans="4:4">
      <c r="D355" s="17"/>
    </row>
    <row r="356" ht="17.25" spans="4:4">
      <c r="D356" s="17"/>
    </row>
    <row r="357" ht="17.25" spans="4:4">
      <c r="D357" s="17"/>
    </row>
    <row r="358" ht="17.25" spans="4:4">
      <c r="D358" s="17"/>
    </row>
    <row r="359" ht="17.25" spans="4:4">
      <c r="D359" s="17"/>
    </row>
    <row r="360" ht="17.25" spans="4:4">
      <c r="D360" s="17"/>
    </row>
    <row r="361" ht="17.25" spans="4:4">
      <c r="D361" s="17"/>
    </row>
    <row r="362" ht="17.25" spans="4:4">
      <c r="D362" s="17"/>
    </row>
    <row r="363" ht="17.25" spans="4:4">
      <c r="D363" s="17"/>
    </row>
    <row r="364" ht="17.25" spans="4:4">
      <c r="D364" s="17"/>
    </row>
    <row r="365" ht="17.25" spans="4:4">
      <c r="D365" s="17"/>
    </row>
    <row r="366" ht="17.25" spans="4:4">
      <c r="D366" s="17"/>
    </row>
    <row r="367" ht="17.25" spans="4:4">
      <c r="D367" s="17"/>
    </row>
    <row r="368" ht="17.25" spans="4:4">
      <c r="D368" s="17"/>
    </row>
    <row r="369" ht="17.25" spans="4:4">
      <c r="D369" s="17"/>
    </row>
    <row r="370" ht="17.25" spans="4:4">
      <c r="D370" s="17"/>
    </row>
    <row r="371" ht="17.25" spans="4:4">
      <c r="D371" s="17"/>
    </row>
    <row r="372" ht="17.25" spans="4:4">
      <c r="D372" s="17"/>
    </row>
    <row r="373" ht="17.25" spans="4:4">
      <c r="D373" s="17"/>
    </row>
    <row r="374" ht="17.25" spans="4:4">
      <c r="D374" s="17"/>
    </row>
    <row r="375" ht="17.25" spans="4:4">
      <c r="D375" s="17"/>
    </row>
    <row r="376" ht="17.25" spans="4:4">
      <c r="D376" s="17"/>
    </row>
    <row r="377" ht="17.25" spans="4:4">
      <c r="D377" s="17"/>
    </row>
    <row r="378" ht="17.25" spans="4:4">
      <c r="D378" s="17"/>
    </row>
    <row r="379" ht="17.25" spans="4:4">
      <c r="D379" s="17"/>
    </row>
    <row r="380" ht="17.25" spans="4:4">
      <c r="D380" s="17"/>
    </row>
    <row r="381" ht="17.25" spans="4:4">
      <c r="D381" s="17"/>
    </row>
    <row r="382" ht="17.25" spans="4:4">
      <c r="D382" s="17"/>
    </row>
    <row r="383" ht="17.25" spans="4:4">
      <c r="D383" s="17"/>
    </row>
    <row r="384" ht="17.25" spans="4:4">
      <c r="D384" s="17"/>
    </row>
    <row r="385" ht="17.25" spans="4:4">
      <c r="D385" s="17"/>
    </row>
    <row r="386" ht="17.25" spans="4:4">
      <c r="D386" s="17"/>
    </row>
    <row r="387" ht="17.25" spans="4:4">
      <c r="D387" s="17"/>
    </row>
    <row r="388" ht="17.25" spans="4:4">
      <c r="D388" s="17"/>
    </row>
    <row r="389" ht="17.25" spans="4:4">
      <c r="D389" s="17"/>
    </row>
    <row r="390" ht="17.25" spans="4:4">
      <c r="D390" s="17"/>
    </row>
    <row r="391" ht="17.25" spans="4:4">
      <c r="D391" s="17"/>
    </row>
    <row r="392" ht="17.25" spans="4:4">
      <c r="D392" s="17"/>
    </row>
    <row r="393" ht="17.25" spans="4:4">
      <c r="D393" s="17"/>
    </row>
    <row r="394" ht="17.25" spans="4:4">
      <c r="D394" s="17"/>
    </row>
    <row r="395" ht="17.25" spans="4:4">
      <c r="D395" s="17"/>
    </row>
    <row r="396" ht="17.25" spans="4:4">
      <c r="D396" s="17"/>
    </row>
    <row r="397" ht="17.25" spans="4:4">
      <c r="D397" s="17"/>
    </row>
    <row r="398" ht="17.25" spans="4:4">
      <c r="D398" s="17"/>
    </row>
    <row r="399" ht="17.25" spans="4:4">
      <c r="D399" s="17"/>
    </row>
    <row r="400" ht="17.25" spans="4:4">
      <c r="D400" s="17"/>
    </row>
    <row r="401" ht="17.25" spans="4:4">
      <c r="D401" s="17"/>
    </row>
    <row r="402" ht="17.25" spans="4:4">
      <c r="D402" s="17"/>
    </row>
    <row r="403" ht="17.25" spans="4:4">
      <c r="D403" s="17"/>
    </row>
    <row r="404" ht="17.25" spans="4:4">
      <c r="D404" s="17"/>
    </row>
    <row r="405" ht="17.25" spans="4:4">
      <c r="D405" s="17"/>
    </row>
    <row r="406" ht="17.25" spans="4:4">
      <c r="D406" s="17"/>
    </row>
    <row r="407" ht="17.25" spans="4:4">
      <c r="D407" s="17"/>
    </row>
    <row r="408" ht="17.25" spans="4:4">
      <c r="D408" s="17"/>
    </row>
    <row r="409" ht="17.25" spans="4:4">
      <c r="D409" s="17"/>
    </row>
    <row r="410" ht="17.25" spans="4:4">
      <c r="D410" s="17"/>
    </row>
    <row r="411" ht="17.25" spans="4:4">
      <c r="D411" s="17"/>
    </row>
    <row r="412" ht="17.25" spans="4:4">
      <c r="D412" s="17"/>
    </row>
    <row r="413" ht="17.25" spans="4:4">
      <c r="D413" s="17"/>
    </row>
    <row r="414" ht="17.25" spans="4:4">
      <c r="D414" s="17"/>
    </row>
    <row r="415" ht="17.25" spans="4:4">
      <c r="D415" s="17"/>
    </row>
    <row r="416" ht="17.25" spans="4:4">
      <c r="D416" s="17"/>
    </row>
    <row r="417" ht="17.25" spans="4:4">
      <c r="D417" s="17"/>
    </row>
    <row r="418" ht="17.25" spans="4:4">
      <c r="D418" s="17"/>
    </row>
    <row r="419" ht="17.25" spans="4:4">
      <c r="D419" s="17"/>
    </row>
    <row r="420" ht="17.25" spans="4:4">
      <c r="D420" s="17"/>
    </row>
    <row r="421" ht="17.25" spans="4:4">
      <c r="D421" s="17"/>
    </row>
    <row r="422" ht="17.25" spans="4:4">
      <c r="D422" s="17"/>
    </row>
    <row r="423" ht="17.25" spans="4:4">
      <c r="D423" s="17"/>
    </row>
    <row r="424" ht="17.25" spans="4:4">
      <c r="D424" s="17"/>
    </row>
    <row r="425" ht="17.25" spans="4:4">
      <c r="D425" s="17"/>
    </row>
    <row r="426" ht="17.25" spans="4:4">
      <c r="D426" s="17"/>
    </row>
    <row r="427" ht="17.25" spans="4:4">
      <c r="D427" s="17"/>
    </row>
    <row r="428" ht="17.25" spans="4:4">
      <c r="D428" s="17"/>
    </row>
    <row r="429" ht="17.25" spans="4:4">
      <c r="D429" s="17"/>
    </row>
    <row r="430" ht="17.25" spans="4:4">
      <c r="D430" s="17"/>
    </row>
    <row r="431" ht="17.25" spans="4:4">
      <c r="D431" s="17"/>
    </row>
    <row r="432" ht="17.25" spans="4:4">
      <c r="D432" s="17"/>
    </row>
    <row r="433" ht="17.25" spans="4:4">
      <c r="D433" s="17"/>
    </row>
    <row r="434" ht="17.25" spans="4:4">
      <c r="D434" s="17"/>
    </row>
    <row r="435" ht="17.25" spans="4:4">
      <c r="D435" s="17"/>
    </row>
    <row r="436" ht="17.25" spans="4:4">
      <c r="D436" s="17"/>
    </row>
    <row r="437" ht="17.25" spans="4:4">
      <c r="D437" s="17"/>
    </row>
    <row r="438" ht="17.25" spans="4:4">
      <c r="D438" s="17"/>
    </row>
    <row r="439" ht="17.25" spans="4:4">
      <c r="D439" s="17"/>
    </row>
    <row r="440" ht="17.25" spans="4:4">
      <c r="D440" s="17"/>
    </row>
    <row r="441" ht="17.25" spans="4:4">
      <c r="D441" s="17"/>
    </row>
    <row r="442" ht="17.25" spans="4:4">
      <c r="D442" s="17"/>
    </row>
    <row r="443" ht="17.25" spans="4:4">
      <c r="D443" s="17"/>
    </row>
    <row r="444" ht="17.25" spans="4:4">
      <c r="D444" s="17"/>
    </row>
    <row r="445" ht="17.25" spans="4:4">
      <c r="D445" s="17"/>
    </row>
    <row r="446" ht="17.25" spans="4:4">
      <c r="D446" s="17"/>
    </row>
    <row r="447" ht="17.25" spans="4:4">
      <c r="D447" s="17"/>
    </row>
    <row r="448" ht="17.25" spans="4:4">
      <c r="D448" s="17"/>
    </row>
    <row r="449" ht="17.25" spans="4:4">
      <c r="D449" s="17"/>
    </row>
    <row r="450" ht="17.25" spans="4:4">
      <c r="D450" s="17"/>
    </row>
    <row r="451" ht="17.25" spans="4:4">
      <c r="D451" s="17"/>
    </row>
    <row r="452" ht="17.25" spans="4:4">
      <c r="D452" s="17"/>
    </row>
    <row r="453" ht="17.25" spans="4:4">
      <c r="D453" s="17"/>
    </row>
    <row r="454" ht="17.25" spans="4:4">
      <c r="D454" s="17"/>
    </row>
    <row r="455" ht="17.25" spans="4:4">
      <c r="D455" s="17"/>
    </row>
    <row r="456" ht="17.25" spans="4:4">
      <c r="D456" s="17"/>
    </row>
    <row r="457" ht="17.25" spans="4:4">
      <c r="D457" s="17"/>
    </row>
    <row r="458" ht="17.25" spans="4:4">
      <c r="D458" s="17"/>
    </row>
    <row r="459" ht="17.25" spans="4:4">
      <c r="D459" s="17"/>
    </row>
    <row r="460" ht="17.25" spans="4:4">
      <c r="D460" s="17"/>
    </row>
    <row r="461" ht="17.25" spans="4:4">
      <c r="D461" s="17"/>
    </row>
    <row r="462" ht="17.25" spans="4:4">
      <c r="D462" s="17"/>
    </row>
    <row r="463" ht="17.25" spans="4:4">
      <c r="D463" s="17"/>
    </row>
    <row r="464" ht="17.25" spans="4:4">
      <c r="D464" s="17"/>
    </row>
    <row r="465" ht="17.25" spans="4:4">
      <c r="D465" s="17"/>
    </row>
    <row r="466" ht="17.25" spans="4:4">
      <c r="D466" s="17"/>
    </row>
    <row r="467" ht="17.25" spans="4:4">
      <c r="D467" s="17"/>
    </row>
    <row r="468" ht="17.25" spans="4:4">
      <c r="D468" s="17"/>
    </row>
    <row r="469" ht="17.25" spans="4:4">
      <c r="D469" s="17"/>
    </row>
    <row r="470" ht="17.25" spans="4:4">
      <c r="D470" s="17"/>
    </row>
    <row r="471" ht="17.25" spans="4:4">
      <c r="D471" s="17"/>
    </row>
    <row r="472" ht="17.25" spans="4:4">
      <c r="D472" s="17"/>
    </row>
    <row r="473" ht="17.25" spans="4:4">
      <c r="D473" s="17"/>
    </row>
    <row r="474" ht="17.25" spans="4:4">
      <c r="D474" s="17"/>
    </row>
    <row r="475" ht="17.25" spans="4:4">
      <c r="D475" s="17"/>
    </row>
    <row r="476" ht="17.25" spans="4:4">
      <c r="D476" s="17"/>
    </row>
    <row r="477" ht="17.25" spans="4:4">
      <c r="D477" s="17"/>
    </row>
    <row r="478" ht="17.25" spans="4:4">
      <c r="D478" s="17"/>
    </row>
    <row r="479" ht="17.25" spans="4:4">
      <c r="D479" s="17"/>
    </row>
    <row r="480" ht="17.25" spans="4:4">
      <c r="D480" s="17"/>
    </row>
    <row r="481" ht="17.25" spans="4:4">
      <c r="D481" s="17"/>
    </row>
    <row r="482" ht="17.25" spans="4:4">
      <c r="D482" s="17"/>
    </row>
    <row r="483" ht="17.25" spans="4:4">
      <c r="D483" s="17"/>
    </row>
    <row r="484" ht="17.25" spans="4:4">
      <c r="D484" s="17"/>
    </row>
    <row r="485" ht="17.25" spans="4:4">
      <c r="D485" s="17"/>
    </row>
    <row r="486" ht="17.25" spans="4:4">
      <c r="D486" s="17"/>
    </row>
    <row r="487" ht="17.25" spans="4:4">
      <c r="D487" s="17"/>
    </row>
    <row r="488" ht="17.25" spans="4:4">
      <c r="D488" s="17"/>
    </row>
    <row r="489" ht="17.25" spans="4:4">
      <c r="D489" s="17"/>
    </row>
    <row r="490" ht="17.25" spans="4:4">
      <c r="D490" s="17"/>
    </row>
    <row r="491" ht="17.25" spans="4:4">
      <c r="D491" s="17"/>
    </row>
    <row r="492" ht="17.25" spans="4:4">
      <c r="D492" s="17"/>
    </row>
    <row r="493" ht="17.25" spans="4:4">
      <c r="D493" s="17"/>
    </row>
    <row r="494" ht="17.25" spans="4:4">
      <c r="D494" s="17"/>
    </row>
    <row r="495" ht="17.25" spans="4:4">
      <c r="D495" s="17"/>
    </row>
    <row r="496" ht="17.25" spans="4:4">
      <c r="D496" s="17"/>
    </row>
    <row r="497" ht="17.25" spans="4:4">
      <c r="D497" s="17"/>
    </row>
    <row r="498" ht="17.25" spans="4:4">
      <c r="D498" s="17"/>
    </row>
    <row r="499" ht="17.25" spans="4:4">
      <c r="D499" s="17"/>
    </row>
    <row r="500" ht="17.25" spans="4:4">
      <c r="D500" s="17"/>
    </row>
    <row r="501" ht="17.25" spans="4:4">
      <c r="D501" s="17"/>
    </row>
    <row r="502" ht="17.25" spans="4:4">
      <c r="D502" s="17"/>
    </row>
    <row r="503" ht="17.25" spans="4:4">
      <c r="D503" s="17"/>
    </row>
    <row r="504" ht="17.25" spans="4:4">
      <c r="D504" s="17"/>
    </row>
    <row r="505" ht="17.25" spans="4:4">
      <c r="D505" s="17"/>
    </row>
    <row r="506" ht="17.25" spans="4:4">
      <c r="D506" s="17"/>
    </row>
    <row r="507" ht="17.25" spans="4:4">
      <c r="D507" s="17"/>
    </row>
    <row r="508" ht="17.25" spans="4:4">
      <c r="D508" s="17"/>
    </row>
    <row r="509" ht="17.25" spans="4:4">
      <c r="D509" s="17"/>
    </row>
    <row r="510" ht="17.25" spans="4:4">
      <c r="D510" s="17"/>
    </row>
    <row r="511" ht="17.25" spans="4:4">
      <c r="D511" s="17"/>
    </row>
    <row r="512" ht="17.25" spans="4:4">
      <c r="D512" s="17"/>
    </row>
    <row r="513" ht="17.25" spans="4:4">
      <c r="D513" s="17"/>
    </row>
    <row r="514" ht="17.25" spans="4:4">
      <c r="D514" s="17"/>
    </row>
    <row r="515" ht="17.25" spans="4:4">
      <c r="D515" s="17"/>
    </row>
    <row r="516" ht="17.25" spans="4:4">
      <c r="D516" s="17"/>
    </row>
    <row r="517" ht="17.25" spans="4:4">
      <c r="D517" s="17"/>
    </row>
    <row r="518" ht="17.25" spans="4:4">
      <c r="D518" s="17"/>
    </row>
    <row r="519" ht="17.25" spans="4:4">
      <c r="D519" s="17"/>
    </row>
    <row r="520" ht="17.25" spans="4:4">
      <c r="D520" s="17"/>
    </row>
    <row r="521" ht="17.25" spans="4:4">
      <c r="D521" s="17"/>
    </row>
    <row r="522" ht="17.25" spans="4:4">
      <c r="D522" s="17"/>
    </row>
    <row r="523" ht="17.25" spans="4:4">
      <c r="D523" s="17"/>
    </row>
    <row r="524" ht="17.25" spans="4:4">
      <c r="D524" s="17"/>
    </row>
    <row r="525" ht="17.25" spans="4:4">
      <c r="D525" s="17"/>
    </row>
    <row r="526" ht="17.25" spans="4:4">
      <c r="D526" s="17"/>
    </row>
    <row r="527" ht="17.25" spans="4:4">
      <c r="D527" s="17"/>
    </row>
    <row r="528" ht="17.25" spans="4:4">
      <c r="D528" s="17"/>
    </row>
    <row r="529" ht="17.25" spans="4:4">
      <c r="D529" s="17"/>
    </row>
    <row r="530" ht="17.25" spans="4:4">
      <c r="D530" s="17"/>
    </row>
    <row r="531" ht="17.25" spans="4:4">
      <c r="D531" s="17"/>
    </row>
    <row r="532" ht="17.25" spans="4:4">
      <c r="D532" s="17"/>
    </row>
    <row r="533" ht="17.25" spans="4:4">
      <c r="D533" s="17"/>
    </row>
    <row r="534" ht="17.25" spans="4:4">
      <c r="D534" s="17"/>
    </row>
    <row r="535" ht="17.25" spans="4:4">
      <c r="D535" s="17"/>
    </row>
    <row r="536" ht="17.25" spans="4:4">
      <c r="D536" s="17"/>
    </row>
    <row r="537" ht="17.25" spans="4:4">
      <c r="D537" s="17"/>
    </row>
    <row r="538" ht="17.25" spans="4:4">
      <c r="D538" s="17"/>
    </row>
    <row r="539" ht="17.25" spans="4:4">
      <c r="D539" s="17"/>
    </row>
    <row r="540" ht="17.25" spans="4:4">
      <c r="D540" s="17"/>
    </row>
    <row r="541" ht="17.25" spans="4:4">
      <c r="D541" s="17"/>
    </row>
    <row r="542" ht="17.25" spans="4:4">
      <c r="D542" s="17"/>
    </row>
    <row r="543" ht="17.25" spans="4:4">
      <c r="D543" s="17"/>
    </row>
    <row r="544" ht="17.25" spans="4:4">
      <c r="D544" s="17"/>
    </row>
    <row r="545" ht="17.25" spans="4:4">
      <c r="D545" s="17"/>
    </row>
    <row r="546" ht="17.25" spans="4:4">
      <c r="D546" s="17"/>
    </row>
    <row r="547" ht="17.25" spans="4:4">
      <c r="D547" s="17"/>
    </row>
    <row r="548" ht="17.25" spans="4:4">
      <c r="D548" s="17"/>
    </row>
    <row r="549" ht="17.25" spans="4:4">
      <c r="D549" s="17"/>
    </row>
    <row r="550" ht="17.25" spans="4:4">
      <c r="D550" s="17"/>
    </row>
    <row r="551" ht="17.25" spans="4:4">
      <c r="D551" s="17"/>
    </row>
    <row r="552" ht="17.25" spans="4:4">
      <c r="D552" s="17"/>
    </row>
    <row r="553" ht="17.25" spans="4:4">
      <c r="D553" s="17"/>
    </row>
    <row r="554" ht="17.25" spans="4:4">
      <c r="D554" s="17"/>
    </row>
    <row r="555" ht="17.25" spans="4:4">
      <c r="D555" s="17"/>
    </row>
    <row r="556" ht="17.25" spans="4:4">
      <c r="D556" s="17"/>
    </row>
    <row r="557" ht="17.25" spans="4:4">
      <c r="D557" s="17"/>
    </row>
    <row r="558" ht="17.25" spans="4:4">
      <c r="D558" s="17"/>
    </row>
    <row r="559" ht="17.25" spans="4:4">
      <c r="D559" s="17"/>
    </row>
    <row r="560" ht="17.25" spans="4:4">
      <c r="D560" s="17"/>
    </row>
    <row r="561" ht="17.25" spans="4:4">
      <c r="D561" s="17"/>
    </row>
    <row r="562" ht="17.25" spans="4:4">
      <c r="D562" s="17"/>
    </row>
    <row r="563" ht="17.25" spans="4:4">
      <c r="D563" s="17"/>
    </row>
    <row r="564" ht="17.25" spans="4:4">
      <c r="D564" s="17"/>
    </row>
    <row r="565" ht="17.25" spans="4:4">
      <c r="D565" s="17"/>
    </row>
    <row r="566" ht="17.25" spans="4:4">
      <c r="D566" s="17"/>
    </row>
    <row r="567" ht="17.25" spans="4:4">
      <c r="D567" s="17"/>
    </row>
    <row r="568" ht="17.25" spans="4:4">
      <c r="D568" s="17"/>
    </row>
    <row r="569" ht="17.25" spans="4:4">
      <c r="D569" s="17"/>
    </row>
    <row r="570" ht="17.25" spans="4:4">
      <c r="D570" s="17"/>
    </row>
    <row r="571" ht="17.25" spans="4:4">
      <c r="D571" s="17"/>
    </row>
    <row r="572" ht="17.25" spans="4:4">
      <c r="D572" s="17"/>
    </row>
    <row r="573" ht="17.25" spans="4:4">
      <c r="D573" s="17"/>
    </row>
    <row r="574" ht="17.25" spans="4:4">
      <c r="D574" s="17"/>
    </row>
    <row r="575" ht="17.25" spans="4:4">
      <c r="D575" s="17"/>
    </row>
    <row r="576" ht="17.25" spans="4:4">
      <c r="D576" s="17"/>
    </row>
    <row r="577" ht="17.25" spans="4:4">
      <c r="D577" s="17"/>
    </row>
    <row r="578" ht="17.25" spans="4:4">
      <c r="D578" s="17"/>
    </row>
    <row r="579" ht="17.25" spans="4:4">
      <c r="D579" s="17"/>
    </row>
    <row r="580" ht="17.25" spans="4:4">
      <c r="D580" s="17"/>
    </row>
    <row r="581" ht="17.25" spans="4:4">
      <c r="D581" s="17"/>
    </row>
    <row r="582" ht="17.25" spans="4:4">
      <c r="D582" s="17"/>
    </row>
    <row r="583" ht="17.25" spans="4:4">
      <c r="D583" s="17"/>
    </row>
    <row r="584" ht="17.25" spans="4:4">
      <c r="D584" s="17"/>
    </row>
    <row r="585" ht="17.25" spans="4:4">
      <c r="D585" s="17"/>
    </row>
    <row r="586" ht="17.25" spans="4:4">
      <c r="D586" s="17"/>
    </row>
    <row r="587" ht="17.25" spans="4:4">
      <c r="D587" s="17"/>
    </row>
    <row r="588" ht="17.25" spans="4:4">
      <c r="D588" s="17"/>
    </row>
    <row r="589" ht="17.25" spans="4:4">
      <c r="D589" s="17"/>
    </row>
    <row r="590" ht="17.25" spans="4:4">
      <c r="D590" s="17"/>
    </row>
    <row r="591" ht="17.25" spans="4:4">
      <c r="D591" s="17"/>
    </row>
    <row r="592" ht="17.25" spans="4:4">
      <c r="D592" s="17"/>
    </row>
    <row r="593" ht="17.25" spans="4:4">
      <c r="D593" s="17"/>
    </row>
    <row r="594" ht="17.25" spans="4:4">
      <c r="D594" s="17"/>
    </row>
    <row r="595" ht="17.25" spans="4:4">
      <c r="D595" s="17"/>
    </row>
    <row r="596" ht="17.25" spans="4:4">
      <c r="D596" s="17"/>
    </row>
    <row r="597" ht="17.25" spans="4:4">
      <c r="D597" s="17"/>
    </row>
    <row r="598" ht="17.25" spans="4:4">
      <c r="D598" s="17"/>
    </row>
    <row r="599" ht="17.25" spans="4:4">
      <c r="D599" s="17"/>
    </row>
    <row r="600" ht="17.25" spans="4:4">
      <c r="D600" s="17"/>
    </row>
    <row r="601" ht="17.25" spans="4:4">
      <c r="D601" s="17"/>
    </row>
    <row r="602" ht="17.25" spans="4:4">
      <c r="D602" s="17"/>
    </row>
    <row r="603" ht="17.25" spans="4:4">
      <c r="D603" s="17"/>
    </row>
    <row r="604" ht="17.25" spans="4:4">
      <c r="D604" s="17"/>
    </row>
    <row r="605" ht="17.25" spans="4:4">
      <c r="D605" s="17"/>
    </row>
    <row r="606" ht="17.25" spans="4:4">
      <c r="D606" s="17"/>
    </row>
    <row r="607" ht="17.25" spans="4:4">
      <c r="D607" s="17"/>
    </row>
    <row r="608" ht="17.25" spans="4:4">
      <c r="D608" s="17"/>
    </row>
    <row r="609" ht="17.25" spans="4:4">
      <c r="D609" s="17"/>
    </row>
    <row r="610" ht="17.25" spans="4:4">
      <c r="D610" s="17"/>
    </row>
    <row r="611" ht="17.25" spans="4:4">
      <c r="D611" s="17"/>
    </row>
    <row r="612" ht="17.25" spans="4:4">
      <c r="D612" s="17"/>
    </row>
    <row r="613" ht="17.25" spans="4:4">
      <c r="D613" s="17"/>
    </row>
    <row r="614" ht="17.25" spans="4:4">
      <c r="D614" s="17"/>
    </row>
    <row r="615" ht="17.25" spans="4:4">
      <c r="D615" s="17"/>
    </row>
    <row r="616" ht="17.25" spans="4:4">
      <c r="D616" s="17"/>
    </row>
    <row r="617" ht="17.25" spans="4:4">
      <c r="D617" s="17"/>
    </row>
    <row r="618" ht="17.25" spans="4:4">
      <c r="D618" s="17"/>
    </row>
    <row r="619" ht="17.25" spans="4:4">
      <c r="D619" s="17"/>
    </row>
    <row r="620" ht="17.25" spans="4:4">
      <c r="D620" s="17"/>
    </row>
    <row r="621" ht="17.25" spans="4:4">
      <c r="D621" s="17"/>
    </row>
    <row r="622" ht="17.25" spans="4:4">
      <c r="D622" s="17"/>
    </row>
    <row r="623" ht="17.25" spans="4:4">
      <c r="D623" s="17"/>
    </row>
    <row r="624" ht="17.25" spans="4:4">
      <c r="D624" s="17"/>
    </row>
    <row r="625" ht="17.25" spans="4:4">
      <c r="D625" s="17"/>
    </row>
    <row r="626" ht="17.25" spans="4:4">
      <c r="D626" s="17"/>
    </row>
    <row r="627" ht="17.25" spans="4:4">
      <c r="D627" s="17"/>
    </row>
    <row r="628" ht="17.25" spans="4:4">
      <c r="D628" s="17"/>
    </row>
    <row r="629" ht="17.25" spans="4:4">
      <c r="D629" s="17"/>
    </row>
    <row r="630" ht="17.25" spans="4:4">
      <c r="D630" s="17"/>
    </row>
    <row r="631" ht="17.25" spans="4:4">
      <c r="D631" s="17"/>
    </row>
    <row r="632" ht="17.25" spans="4:4">
      <c r="D632" s="17"/>
    </row>
    <row r="633" ht="17.25" spans="4:4">
      <c r="D633" s="17"/>
    </row>
    <row r="634" ht="17.25" spans="4:4">
      <c r="D634" s="17"/>
    </row>
    <row r="635" ht="17.25" spans="4:4">
      <c r="D635" s="17"/>
    </row>
    <row r="636" ht="17.25" spans="4:4">
      <c r="D636" s="17"/>
    </row>
    <row r="637" ht="17.25" spans="4:4">
      <c r="D637" s="17"/>
    </row>
    <row r="638" ht="17.25" spans="4:4">
      <c r="D638" s="17"/>
    </row>
    <row r="639" ht="17.25" spans="4:4">
      <c r="D639" s="17"/>
    </row>
    <row r="640" ht="17.25" spans="4:4">
      <c r="D640" s="17"/>
    </row>
    <row r="641" ht="17.25" spans="4:4">
      <c r="D641" s="17"/>
    </row>
    <row r="642" ht="17.25" spans="4:4">
      <c r="D642" s="17"/>
    </row>
    <row r="643" ht="17.25" spans="4:4">
      <c r="D643" s="17"/>
    </row>
    <row r="644" ht="17.25" spans="4:4">
      <c r="D644" s="17"/>
    </row>
    <row r="645" ht="17.25" spans="4:4">
      <c r="D645" s="17"/>
    </row>
    <row r="646" ht="17.25" spans="4:4">
      <c r="D646" s="17"/>
    </row>
    <row r="647" ht="17.25" spans="4:4">
      <c r="D647" s="17"/>
    </row>
    <row r="648" ht="17.25" spans="4:4">
      <c r="D648" s="17"/>
    </row>
    <row r="649" ht="17.25" spans="4:4">
      <c r="D649" s="17"/>
    </row>
    <row r="650" ht="17.25" spans="4:4">
      <c r="D650" s="17"/>
    </row>
    <row r="651" ht="17.25" spans="4:4">
      <c r="D651" s="17"/>
    </row>
    <row r="652" ht="17.25" spans="4:4">
      <c r="D652" s="17"/>
    </row>
    <row r="653" ht="17.25" spans="4:4">
      <c r="D653" s="17"/>
    </row>
    <row r="654" ht="17.25" spans="4:4">
      <c r="D654" s="17"/>
    </row>
    <row r="655" ht="17.25" spans="4:4">
      <c r="D655" s="17"/>
    </row>
    <row r="656" ht="17.25" spans="4:4">
      <c r="D656" s="17"/>
    </row>
    <row r="657" ht="17.25" spans="4:4">
      <c r="D657" s="17"/>
    </row>
    <row r="658" ht="17.25" spans="4:4">
      <c r="D658" s="17"/>
    </row>
    <row r="659" ht="17.25" spans="4:4">
      <c r="D659" s="17"/>
    </row>
    <row r="660" ht="17.25" spans="4:4">
      <c r="D660" s="17"/>
    </row>
    <row r="661" ht="17.25" spans="4:4">
      <c r="D661" s="17"/>
    </row>
    <row r="662" ht="17.25" spans="4:4">
      <c r="D662" s="17"/>
    </row>
    <row r="663" ht="17.25" spans="4:4">
      <c r="D663" s="17"/>
    </row>
    <row r="664" ht="17.25" spans="4:4">
      <c r="D664" s="17"/>
    </row>
    <row r="665" ht="17.25" spans="4:4">
      <c r="D665" s="17"/>
    </row>
    <row r="666" ht="17.25" spans="4:4">
      <c r="D666" s="17"/>
    </row>
    <row r="667" ht="17.25" spans="4:4">
      <c r="D667" s="17"/>
    </row>
    <row r="668" ht="17.25" spans="4:4">
      <c r="D668" s="17"/>
    </row>
    <row r="669" ht="17.25" spans="4:4">
      <c r="D669" s="17"/>
    </row>
    <row r="670" ht="17.25" spans="4:4">
      <c r="D670" s="17"/>
    </row>
    <row r="671" ht="17.25" spans="4:4">
      <c r="D671" s="17"/>
    </row>
    <row r="672" ht="17.25" spans="4:4">
      <c r="D672" s="17"/>
    </row>
    <row r="673" ht="17.25" spans="4:4">
      <c r="D673" s="17"/>
    </row>
    <row r="674" ht="17.25" spans="4:4">
      <c r="D674" s="17"/>
    </row>
    <row r="675" ht="17.25" spans="4:4">
      <c r="D675" s="17"/>
    </row>
    <row r="676" ht="17.25" spans="4:4">
      <c r="D676" s="17"/>
    </row>
    <row r="677" ht="17.25" spans="4:4">
      <c r="D677" s="17"/>
    </row>
    <row r="678" ht="17.25" spans="4:4">
      <c r="D678" s="17"/>
    </row>
    <row r="679" ht="17.25" spans="4:4">
      <c r="D679" s="17"/>
    </row>
    <row r="680" ht="17.25" spans="4:4">
      <c r="D680" s="17"/>
    </row>
    <row r="681" ht="17.25" spans="4:4">
      <c r="D681" s="17"/>
    </row>
    <row r="682" ht="17.25" spans="4:4">
      <c r="D682" s="17"/>
    </row>
    <row r="683" ht="17.25" spans="4:4">
      <c r="D683" s="17"/>
    </row>
    <row r="684" ht="17.25" spans="4:4">
      <c r="D684" s="17"/>
    </row>
    <row r="685" ht="17.25" spans="4:4">
      <c r="D685" s="17"/>
    </row>
    <row r="686" ht="17.25" spans="4:4">
      <c r="D686" s="17"/>
    </row>
    <row r="687" ht="17.25" spans="4:4">
      <c r="D687" s="17"/>
    </row>
    <row r="688" ht="17.25" spans="4:4">
      <c r="D688" s="17"/>
    </row>
    <row r="689" ht="17.25" spans="4:4">
      <c r="D689" s="17"/>
    </row>
    <row r="690" ht="17.25" spans="4:4">
      <c r="D690" s="17"/>
    </row>
    <row r="691" ht="17.25" spans="4:4">
      <c r="D691" s="17"/>
    </row>
    <row r="692" ht="17.25" spans="4:4">
      <c r="D692" s="17"/>
    </row>
    <row r="693" ht="17.25" spans="4:4">
      <c r="D693" s="17"/>
    </row>
    <row r="694" ht="17.25" spans="4:4">
      <c r="D694" s="17"/>
    </row>
    <row r="695" ht="17.25" spans="4:4">
      <c r="D695" s="17"/>
    </row>
    <row r="696" ht="17.25" spans="4:4">
      <c r="D696" s="17"/>
    </row>
    <row r="697" ht="17.25" spans="4:4">
      <c r="D697" s="17"/>
    </row>
    <row r="698" ht="17.25" spans="4:4">
      <c r="D698" s="17"/>
    </row>
    <row r="699" ht="17.25" spans="4:4">
      <c r="D699" s="17"/>
    </row>
    <row r="700" ht="17.25" spans="4:4">
      <c r="D700" s="17"/>
    </row>
    <row r="701" ht="17.25" spans="4:4">
      <c r="D701" s="17"/>
    </row>
    <row r="702" ht="17.25" spans="4:4">
      <c r="D702" s="17"/>
    </row>
    <row r="703" ht="17.25" spans="4:4">
      <c r="D703" s="17"/>
    </row>
    <row r="704" ht="17.25" spans="4:4">
      <c r="D704" s="17"/>
    </row>
    <row r="705" ht="17.25" spans="4:4">
      <c r="D705" s="17"/>
    </row>
    <row r="706" ht="17.25" spans="4:4">
      <c r="D706" s="17"/>
    </row>
    <row r="707" ht="17.25" spans="4:4">
      <c r="D707" s="17"/>
    </row>
    <row r="708" ht="17.25" spans="4:4">
      <c r="D708" s="17"/>
    </row>
    <row r="709" ht="17.25" spans="4:4">
      <c r="D709" s="17"/>
    </row>
    <row r="710" ht="17.25" spans="4:4">
      <c r="D710" s="17"/>
    </row>
    <row r="711" ht="17.25" spans="4:4">
      <c r="D711" s="17"/>
    </row>
    <row r="712" ht="17.25" spans="4:4">
      <c r="D712" s="17"/>
    </row>
    <row r="713" ht="17.25" spans="4:4">
      <c r="D713" s="17"/>
    </row>
    <row r="714" ht="17.25" spans="4:4">
      <c r="D714" s="17"/>
    </row>
    <row r="715" ht="17.25" spans="4:4">
      <c r="D715" s="17"/>
    </row>
    <row r="716" ht="17.25" spans="4:4">
      <c r="D716" s="17"/>
    </row>
    <row r="717" ht="17.25" spans="4:4">
      <c r="D717" s="17"/>
    </row>
    <row r="718" ht="17.25" spans="4:4">
      <c r="D718" s="17"/>
    </row>
    <row r="719" ht="17.25" spans="4:4">
      <c r="D719" s="17"/>
    </row>
    <row r="720" ht="17.25" spans="4:4">
      <c r="D720" s="17"/>
    </row>
    <row r="721" ht="17.25" spans="4:4">
      <c r="D721" s="17"/>
    </row>
    <row r="722" ht="17.25" spans="4:4">
      <c r="D722" s="17"/>
    </row>
    <row r="723" ht="17.25" spans="4:4">
      <c r="D723" s="17"/>
    </row>
    <row r="724" ht="17.25" spans="4:4">
      <c r="D724" s="17"/>
    </row>
    <row r="725" ht="17.25" spans="4:4">
      <c r="D725" s="17"/>
    </row>
    <row r="726" ht="17.25" spans="4:4">
      <c r="D726" s="17"/>
    </row>
    <row r="727" ht="17.25" spans="4:4">
      <c r="D727" s="17"/>
    </row>
    <row r="728" ht="17.25" spans="4:4">
      <c r="D728" s="17"/>
    </row>
    <row r="729" ht="17.25" spans="4:4">
      <c r="D729" s="17"/>
    </row>
    <row r="730" ht="17.25" spans="4:4">
      <c r="D730" s="17"/>
    </row>
    <row r="731" ht="17.25" spans="4:4">
      <c r="D731" s="17"/>
    </row>
    <row r="732" ht="17.25" spans="4:4">
      <c r="D732" s="17"/>
    </row>
    <row r="733" ht="17.25" spans="4:4">
      <c r="D733" s="17"/>
    </row>
    <row r="734" ht="17.25" spans="4:4">
      <c r="D734" s="17"/>
    </row>
    <row r="735" ht="17.25" spans="4:4">
      <c r="D735" s="17"/>
    </row>
    <row r="736" ht="17.25" spans="4:4">
      <c r="D736" s="17"/>
    </row>
    <row r="737" ht="17.25" spans="4:4">
      <c r="D737" s="17"/>
    </row>
    <row r="738" ht="17.25" spans="4:4">
      <c r="D738" s="17"/>
    </row>
    <row r="739" ht="17.25" spans="4:4">
      <c r="D739" s="17"/>
    </row>
    <row r="740" ht="17.25" spans="4:4">
      <c r="D740" s="17"/>
    </row>
    <row r="741" ht="17.25" spans="4:4">
      <c r="D741" s="17"/>
    </row>
    <row r="742" ht="17.25" spans="4:4">
      <c r="D742" s="17"/>
    </row>
    <row r="743" ht="17.25" spans="4:4">
      <c r="D743" s="17"/>
    </row>
    <row r="744" ht="17.25" spans="4:4">
      <c r="D744" s="17"/>
    </row>
    <row r="745" ht="17.25" spans="4:4">
      <c r="D745" s="17"/>
    </row>
    <row r="746" ht="17.25" spans="4:4">
      <c r="D746" s="17"/>
    </row>
    <row r="747" ht="17.25" spans="4:4">
      <c r="D747" s="17"/>
    </row>
    <row r="748" ht="17.25" spans="4:4">
      <c r="D748" s="17"/>
    </row>
    <row r="749" ht="17.25" spans="4:4">
      <c r="D749" s="17"/>
    </row>
    <row r="750" ht="17.25" spans="4:4">
      <c r="D750" s="17"/>
    </row>
    <row r="751" ht="17.25" spans="4:4">
      <c r="D751" s="17"/>
    </row>
    <row r="752" ht="17.25" spans="4:4">
      <c r="D752" s="17"/>
    </row>
    <row r="753" ht="17.25" spans="4:4">
      <c r="D753" s="17"/>
    </row>
    <row r="754" ht="17.25" spans="4:4">
      <c r="D754" s="17"/>
    </row>
    <row r="755" ht="17.25" spans="4:4">
      <c r="D755" s="17"/>
    </row>
    <row r="756" ht="17.25" spans="4:4">
      <c r="D756" s="17"/>
    </row>
    <row r="757" ht="17.25" spans="4:4">
      <c r="D757" s="17"/>
    </row>
    <row r="758" ht="17.25" spans="4:4">
      <c r="D758" s="17"/>
    </row>
    <row r="759" ht="17.25" spans="4:4">
      <c r="D759" s="17"/>
    </row>
    <row r="760" ht="17.25" spans="4:4">
      <c r="D760" s="17"/>
    </row>
    <row r="761" ht="17.25" spans="4:4">
      <c r="D761" s="17"/>
    </row>
    <row r="762" ht="17.25" spans="4:4">
      <c r="D762" s="17"/>
    </row>
    <row r="763" ht="17.25" spans="4:4">
      <c r="D763" s="17"/>
    </row>
    <row r="764" ht="17.25" spans="4:4">
      <c r="D764" s="17"/>
    </row>
    <row r="765" ht="17.25" spans="4:4">
      <c r="D765" s="17"/>
    </row>
    <row r="766" ht="17.25" spans="4:4">
      <c r="D766" s="17"/>
    </row>
    <row r="767" ht="17.25" spans="4:4">
      <c r="D767" s="17"/>
    </row>
    <row r="768" ht="17.25" spans="4:4">
      <c r="D768" s="17"/>
    </row>
    <row r="769" ht="17.25" spans="4:4">
      <c r="D769" s="17"/>
    </row>
    <row r="770" ht="17.25" spans="4:4">
      <c r="D770" s="17"/>
    </row>
    <row r="771" ht="17.25" spans="4:4">
      <c r="D771" s="17"/>
    </row>
    <row r="772" ht="17.25" spans="4:4">
      <c r="D772" s="17"/>
    </row>
    <row r="773" ht="17.25" spans="4:4">
      <c r="D773" s="17"/>
    </row>
    <row r="774" ht="17.25" spans="4:4">
      <c r="D774" s="17"/>
    </row>
    <row r="775" ht="17.25" spans="4:4">
      <c r="D775" s="17"/>
    </row>
    <row r="776" ht="17.25" spans="4:4">
      <c r="D776" s="17"/>
    </row>
    <row r="777" ht="17.25" spans="4:4">
      <c r="D777" s="17"/>
    </row>
    <row r="778" ht="17.25" spans="4:4">
      <c r="D778" s="17"/>
    </row>
    <row r="779" ht="17.25" spans="4:4">
      <c r="D779" s="17"/>
    </row>
    <row r="780" ht="17.25" spans="4:4">
      <c r="D780" s="17"/>
    </row>
    <row r="781" ht="17.25" spans="4:4">
      <c r="D781" s="17"/>
    </row>
    <row r="782" ht="17.25" spans="4:4">
      <c r="D782" s="17"/>
    </row>
    <row r="783" ht="17.25" spans="4:4">
      <c r="D783" s="17"/>
    </row>
    <row r="784" ht="17.25" spans="4:4">
      <c r="D784" s="17"/>
    </row>
    <row r="785" ht="17.25" spans="4:4">
      <c r="D785" s="17"/>
    </row>
    <row r="786" ht="17.25" spans="4:4">
      <c r="D786" s="17"/>
    </row>
    <row r="787" ht="17.25" spans="4:4">
      <c r="D787" s="17"/>
    </row>
    <row r="788" ht="17.25" spans="4:4">
      <c r="D788" s="17"/>
    </row>
    <row r="789" ht="17.25" spans="4:4">
      <c r="D789" s="17"/>
    </row>
    <row r="790" ht="17.25" spans="4:4">
      <c r="D790" s="17"/>
    </row>
    <row r="791" ht="17.25" spans="4:4">
      <c r="D791" s="17"/>
    </row>
    <row r="792" ht="17.25" spans="4:4">
      <c r="D792" s="17"/>
    </row>
    <row r="793" ht="17.25" spans="4:4">
      <c r="D793" s="17"/>
    </row>
    <row r="794" ht="17.25" spans="4:4">
      <c r="D794" s="17"/>
    </row>
    <row r="795" ht="17.25" spans="4:4">
      <c r="D795" s="17"/>
    </row>
    <row r="796" ht="17.25" spans="4:4">
      <c r="D796" s="17"/>
    </row>
    <row r="797" ht="17.25" spans="4:4">
      <c r="D797" s="17"/>
    </row>
    <row r="798" ht="17.25" spans="4:4">
      <c r="D798" s="17"/>
    </row>
    <row r="799" ht="17.25" spans="4:4">
      <c r="D799" s="17"/>
    </row>
    <row r="800" ht="17.25" spans="4:4">
      <c r="D800" s="17"/>
    </row>
    <row r="801" ht="17.25" spans="4:4">
      <c r="D801" s="17"/>
    </row>
    <row r="802" ht="17.25" spans="4:4">
      <c r="D802" s="17"/>
    </row>
    <row r="803" ht="17.25" spans="4:4">
      <c r="D803" s="17"/>
    </row>
    <row r="804" ht="17.25" spans="4:4">
      <c r="D804" s="17"/>
    </row>
    <row r="805" ht="17.25" spans="4:4">
      <c r="D805" s="17"/>
    </row>
    <row r="806" ht="17.25" spans="4:4">
      <c r="D806" s="17"/>
    </row>
    <row r="807" ht="17.25" spans="4:4">
      <c r="D807" s="17"/>
    </row>
    <row r="808" ht="17.25" spans="4:4">
      <c r="D808" s="17"/>
    </row>
    <row r="809" ht="17.25" spans="4:4">
      <c r="D809" s="17"/>
    </row>
    <row r="810" ht="17.25" spans="4:4">
      <c r="D810" s="17"/>
    </row>
    <row r="811" ht="17.25" spans="4:4">
      <c r="D811" s="17"/>
    </row>
    <row r="812" ht="17.25" spans="4:4">
      <c r="D812" s="17"/>
    </row>
    <row r="813" ht="17.25" spans="4:4">
      <c r="D813" s="17"/>
    </row>
    <row r="814" ht="17.25" spans="4:4">
      <c r="D814" s="17"/>
    </row>
    <row r="815" ht="17.25" spans="4:4">
      <c r="D815" s="17"/>
    </row>
    <row r="816" ht="17.25" spans="4:4">
      <c r="D816" s="17"/>
    </row>
    <row r="817" ht="17.25" spans="4:4">
      <c r="D817" s="17"/>
    </row>
    <row r="818" ht="17.25" spans="4:4">
      <c r="D818" s="17"/>
    </row>
    <row r="819" ht="17.25" spans="4:4">
      <c r="D819" s="17"/>
    </row>
    <row r="820" ht="17.25" spans="4:4">
      <c r="D820" s="17"/>
    </row>
    <row r="821" ht="17.25" spans="4:4">
      <c r="D821" s="17"/>
    </row>
    <row r="822" ht="17.25" spans="4:4">
      <c r="D822" s="17"/>
    </row>
    <row r="823" ht="17.25" spans="4:4">
      <c r="D823" s="17"/>
    </row>
    <row r="824" ht="17.25" spans="4:4">
      <c r="D824" s="17"/>
    </row>
    <row r="825" ht="17.25" spans="4:4">
      <c r="D825" s="17"/>
    </row>
    <row r="826" ht="17.25" spans="4:4">
      <c r="D826" s="17"/>
    </row>
    <row r="827" ht="17.25" spans="4:4">
      <c r="D827" s="17"/>
    </row>
    <row r="828" ht="17.25" spans="4:4">
      <c r="D828" s="17"/>
    </row>
    <row r="829" ht="17.25" spans="4:4">
      <c r="D829" s="17"/>
    </row>
    <row r="830" ht="17.25" spans="4:4">
      <c r="D830" s="17"/>
    </row>
    <row r="831" ht="17.25" spans="4:4">
      <c r="D831" s="17"/>
    </row>
    <row r="832" ht="17.25" spans="4:4">
      <c r="D832" s="17"/>
    </row>
    <row r="833" ht="17.25" spans="4:4">
      <c r="D833" s="17"/>
    </row>
    <row r="834" ht="17.25" spans="4:4">
      <c r="D834" s="17"/>
    </row>
    <row r="835" ht="17.25" spans="4:4">
      <c r="D835" s="17"/>
    </row>
    <row r="836" ht="17.25" spans="4:4">
      <c r="D836" s="17"/>
    </row>
    <row r="837" ht="17.25" spans="4:4">
      <c r="D837" s="17"/>
    </row>
    <row r="838" ht="17.25" spans="4:4">
      <c r="D838" s="17"/>
    </row>
    <row r="839" ht="17.25" spans="4:4">
      <c r="D839" s="17"/>
    </row>
    <row r="840" ht="17.25" spans="4:4">
      <c r="D840" s="17"/>
    </row>
    <row r="841" ht="17.25" spans="4:4">
      <c r="D841" s="17"/>
    </row>
    <row r="842" ht="17.25" spans="4:4">
      <c r="D842" s="17"/>
    </row>
    <row r="843" ht="17.25" spans="4:4">
      <c r="D843" s="17"/>
    </row>
    <row r="844" ht="17.25" spans="4:4">
      <c r="D844" s="17"/>
    </row>
    <row r="845" ht="17.25" spans="4:4">
      <c r="D845" s="17"/>
    </row>
    <row r="846" ht="17.25" spans="4:4">
      <c r="D846" s="17"/>
    </row>
    <row r="847" ht="17.25" spans="4:4">
      <c r="D847" s="17"/>
    </row>
    <row r="848" ht="17.25" spans="4:4">
      <c r="D848" s="17"/>
    </row>
    <row r="849" ht="17.25" spans="4:4">
      <c r="D849" s="17"/>
    </row>
    <row r="850" ht="17.25" spans="4:4">
      <c r="D850" s="17"/>
    </row>
    <row r="851" ht="17.25" spans="4:4">
      <c r="D851" s="17"/>
    </row>
    <row r="852" ht="17.25" spans="4:4">
      <c r="D852" s="17"/>
    </row>
    <row r="853" ht="17.25" spans="4:4">
      <c r="D853" s="17"/>
    </row>
    <row r="854" ht="17.25" spans="4:4">
      <c r="D854" s="17"/>
    </row>
    <row r="855" ht="17.25" spans="4:4">
      <c r="D855" s="17"/>
    </row>
    <row r="856" ht="17.25" spans="4:4">
      <c r="D856" s="17"/>
    </row>
    <row r="857" ht="17.25" spans="4:4">
      <c r="D857" s="17"/>
    </row>
    <row r="858" ht="17.25" spans="4:4">
      <c r="D858" s="17"/>
    </row>
    <row r="859" ht="17.25" spans="4:4">
      <c r="D859" s="17"/>
    </row>
    <row r="860" ht="17.25" spans="4:4">
      <c r="D860" s="17"/>
    </row>
    <row r="861" ht="17.25" spans="4:4">
      <c r="D861" s="17"/>
    </row>
    <row r="862" ht="17.25" spans="4:4">
      <c r="D862" s="17"/>
    </row>
    <row r="863" ht="17.25" spans="4:4">
      <c r="D863" s="17"/>
    </row>
    <row r="864" ht="17.25" spans="4:4">
      <c r="D864" s="17"/>
    </row>
    <row r="865" ht="17.25" spans="4:4">
      <c r="D865" s="17"/>
    </row>
    <row r="866" ht="17.25" spans="4:4">
      <c r="D866" s="17"/>
    </row>
    <row r="867" ht="17.25" spans="4:4">
      <c r="D867" s="17"/>
    </row>
    <row r="868" ht="17.25" spans="4:4">
      <c r="D868" s="17"/>
    </row>
    <row r="869" ht="17.25" spans="4:4">
      <c r="D869" s="17"/>
    </row>
    <row r="870" ht="17.25" spans="4:4">
      <c r="D870" s="17"/>
    </row>
    <row r="871" ht="17.25" spans="4:4">
      <c r="D871" s="17"/>
    </row>
    <row r="872" ht="17.25" spans="4:4">
      <c r="D872" s="17"/>
    </row>
    <row r="873" ht="17.25" spans="4:4">
      <c r="D873" s="17"/>
    </row>
    <row r="874" ht="17.25" spans="4:4">
      <c r="D874" s="17"/>
    </row>
    <row r="875" ht="17.25" spans="4:4">
      <c r="D875" s="17"/>
    </row>
    <row r="876" ht="17.25" spans="4:4">
      <c r="D876" s="17"/>
    </row>
    <row r="877" ht="17.25" spans="4:4">
      <c r="D877" s="17"/>
    </row>
    <row r="878" ht="17.25" spans="4:4">
      <c r="D878" s="17"/>
    </row>
    <row r="879" ht="17.25" spans="4:4">
      <c r="D879" s="17"/>
    </row>
    <row r="880" ht="17.25" spans="4:4">
      <c r="D880" s="17"/>
    </row>
    <row r="881" ht="17.25" spans="4:4">
      <c r="D881" s="17"/>
    </row>
    <row r="882" ht="17.25" spans="4:4">
      <c r="D882" s="17"/>
    </row>
    <row r="883" ht="17.25" spans="4:4">
      <c r="D883" s="17"/>
    </row>
    <row r="884" ht="17.25" spans="4:4">
      <c r="D884" s="17"/>
    </row>
    <row r="885" ht="17.25" spans="4:4">
      <c r="D885" s="17"/>
    </row>
    <row r="886" ht="17.25" spans="4:4">
      <c r="D886" s="17"/>
    </row>
    <row r="887" ht="17.25" spans="4:4">
      <c r="D887" s="17"/>
    </row>
    <row r="888" ht="17.25" spans="4:4">
      <c r="D888" s="17"/>
    </row>
    <row r="889" ht="17.25" spans="4:4">
      <c r="D889" s="17"/>
    </row>
    <row r="890" ht="17.25" spans="4:4">
      <c r="D890" s="17"/>
    </row>
    <row r="891" ht="17.25" spans="4:4">
      <c r="D891" s="17"/>
    </row>
    <row r="892" ht="17.25" spans="4:4">
      <c r="D892" s="17"/>
    </row>
    <row r="893" ht="17.25" spans="4:4">
      <c r="D893" s="17"/>
    </row>
    <row r="894" ht="17.25" spans="4:4">
      <c r="D894" s="17"/>
    </row>
    <row r="895" ht="17.25" spans="4:4">
      <c r="D895" s="17"/>
    </row>
    <row r="896" ht="17.25" spans="4:4">
      <c r="D896" s="17"/>
    </row>
    <row r="897" ht="17.25" spans="4:4">
      <c r="D897" s="17"/>
    </row>
    <row r="898" ht="17.25" spans="4:4">
      <c r="D898" s="17"/>
    </row>
    <row r="899" ht="17.25" spans="4:4">
      <c r="D899" s="17"/>
    </row>
    <row r="900" ht="17.25" spans="4:4">
      <c r="D900" s="17"/>
    </row>
    <row r="901" ht="17.25" spans="4:4">
      <c r="D901" s="17"/>
    </row>
    <row r="902" ht="17.25" spans="4:4">
      <c r="D902" s="17"/>
    </row>
    <row r="903" ht="17.25" spans="4:4">
      <c r="D903" s="17"/>
    </row>
    <row r="904" ht="17.25" spans="4:4">
      <c r="D904" s="17"/>
    </row>
    <row r="905" ht="17.25" spans="4:4">
      <c r="D905" s="17"/>
    </row>
    <row r="906" ht="17.25" spans="4:4">
      <c r="D906" s="17"/>
    </row>
    <row r="907" ht="17.25" spans="4:4">
      <c r="D907" s="17"/>
    </row>
    <row r="908" ht="17.25" spans="4:4">
      <c r="D908" s="17"/>
    </row>
    <row r="909" ht="17.25" spans="4:4">
      <c r="D909" s="17"/>
    </row>
    <row r="910" ht="17.25" spans="4:4">
      <c r="D910" s="17"/>
    </row>
    <row r="911" ht="17.25" spans="4:4">
      <c r="D911" s="17"/>
    </row>
    <row r="912" ht="17.25" spans="4:4">
      <c r="D912" s="17"/>
    </row>
    <row r="913" ht="17.25" spans="4:4">
      <c r="D913" s="17"/>
    </row>
    <row r="914" ht="17.25" spans="4:4">
      <c r="D914" s="17"/>
    </row>
    <row r="915" ht="17.25" spans="4:4">
      <c r="D915" s="17"/>
    </row>
    <row r="916" ht="17.25" spans="4:4">
      <c r="D916" s="17"/>
    </row>
    <row r="917" ht="17.25" spans="4:4">
      <c r="D917" s="17"/>
    </row>
    <row r="918" ht="17.25" spans="4:4">
      <c r="D918" s="17"/>
    </row>
    <row r="919" ht="17.25" spans="4:4">
      <c r="D919" s="17"/>
    </row>
    <row r="920" ht="17.25" spans="4:4">
      <c r="D920" s="17"/>
    </row>
    <row r="921" ht="17.25" spans="4:4">
      <c r="D921" s="17"/>
    </row>
    <row r="922" ht="17.25" spans="4:4">
      <c r="D922" s="17"/>
    </row>
    <row r="923" ht="17.25" spans="4:4">
      <c r="D923" s="17"/>
    </row>
    <row r="924" ht="17.25" spans="4:4">
      <c r="D924" s="17"/>
    </row>
    <row r="925" ht="17.25" spans="4:4">
      <c r="D925" s="17"/>
    </row>
    <row r="926" ht="17.25" spans="4:4">
      <c r="D926" s="17"/>
    </row>
    <row r="927" ht="17.25" spans="4:4">
      <c r="D927" s="17"/>
    </row>
    <row r="928" ht="17.25" spans="4:4">
      <c r="D928" s="17"/>
    </row>
    <row r="929" ht="17.25" spans="4:4">
      <c r="D929" s="17"/>
    </row>
    <row r="930" ht="17.25" spans="4:4">
      <c r="D930" s="17"/>
    </row>
    <row r="931" ht="17.25" spans="4:4">
      <c r="D931" s="17"/>
    </row>
    <row r="932" ht="17.25" spans="4:4">
      <c r="D932" s="17"/>
    </row>
    <row r="933" ht="17.25" spans="4:4">
      <c r="D933" s="17"/>
    </row>
    <row r="934" ht="17.25" spans="4:4">
      <c r="D934" s="17"/>
    </row>
    <row r="935" ht="17.25" spans="4:4">
      <c r="D935" s="17"/>
    </row>
    <row r="936" ht="17.25" spans="4:4">
      <c r="D936" s="17"/>
    </row>
    <row r="937" ht="17.25" spans="4:4">
      <c r="D937" s="17"/>
    </row>
    <row r="938" ht="17.25" spans="4:4">
      <c r="D938" s="17"/>
    </row>
    <row r="939" ht="17.25" spans="4:4">
      <c r="D939" s="17"/>
    </row>
    <row r="940" ht="17.25" spans="4:4">
      <c r="D940" s="17"/>
    </row>
    <row r="941" ht="17.25" spans="4:4">
      <c r="D941" s="17"/>
    </row>
    <row r="942" ht="17.25" spans="4:4">
      <c r="D942" s="17"/>
    </row>
    <row r="943" ht="17.25" spans="4:4">
      <c r="D943" s="17"/>
    </row>
    <row r="944" ht="17.25" spans="4:4">
      <c r="D944" s="17"/>
    </row>
    <row r="945" ht="17.25" spans="4:4">
      <c r="D945" s="17"/>
    </row>
    <row r="946" ht="17.25" spans="4:4">
      <c r="D946" s="17"/>
    </row>
    <row r="947" ht="17.25" spans="4:4">
      <c r="D947" s="17"/>
    </row>
    <row r="948" ht="17.25" spans="4:4">
      <c r="D948" s="17"/>
    </row>
    <row r="949" ht="17.25" spans="4:4">
      <c r="D949" s="17"/>
    </row>
    <row r="950" ht="17.25" spans="4:4">
      <c r="D950" s="17"/>
    </row>
    <row r="951" ht="17.25" spans="4:4">
      <c r="D951" s="17"/>
    </row>
    <row r="952" ht="17.25" spans="4:4">
      <c r="D952" s="17"/>
    </row>
    <row r="953" ht="17.25" spans="4:4">
      <c r="D953" s="17"/>
    </row>
    <row r="954" ht="17.25" spans="4:4">
      <c r="D954" s="17"/>
    </row>
    <row r="955" ht="17.25" spans="4:4">
      <c r="D955" s="17"/>
    </row>
    <row r="956" ht="17.25" spans="4:4">
      <c r="D956" s="17"/>
    </row>
    <row r="957" ht="17.25" spans="4:4">
      <c r="D957" s="17"/>
    </row>
    <row r="958" ht="17.25" spans="4:4">
      <c r="D958" s="17"/>
    </row>
    <row r="959" ht="17.25" spans="4:4">
      <c r="D959" s="17"/>
    </row>
    <row r="960" ht="17.25" spans="4:4">
      <c r="D960" s="17"/>
    </row>
    <row r="961" ht="17.25" spans="4:4">
      <c r="D961" s="17"/>
    </row>
    <row r="962" ht="17.25" spans="4:4">
      <c r="D962" s="17"/>
    </row>
    <row r="963" ht="17.25" spans="4:4">
      <c r="D963" s="17"/>
    </row>
    <row r="964" ht="17.25" spans="4:4">
      <c r="D964" s="17"/>
    </row>
    <row r="965" ht="17.25" spans="4:4">
      <c r="D965" s="17"/>
    </row>
    <row r="966" ht="17.25" spans="4:4">
      <c r="D966" s="17"/>
    </row>
    <row r="967" ht="17.25" spans="4:4">
      <c r="D967" s="17"/>
    </row>
    <row r="968" ht="17.25" spans="4:4">
      <c r="D968" s="17"/>
    </row>
    <row r="969" ht="17.25" spans="4:4">
      <c r="D969" s="17"/>
    </row>
    <row r="970" ht="17.25" spans="4:4">
      <c r="D970" s="17"/>
    </row>
    <row r="971" ht="17.25" spans="4:4">
      <c r="D971" s="17"/>
    </row>
    <row r="972" ht="17.25" spans="4:4">
      <c r="D972" s="17"/>
    </row>
    <row r="973" ht="17.25" spans="4:4">
      <c r="D973" s="17"/>
    </row>
    <row r="974" ht="17.25" spans="4:4">
      <c r="D974" s="17"/>
    </row>
    <row r="975" ht="17.25" spans="4:4">
      <c r="D975" s="17"/>
    </row>
    <row r="976" ht="17.25" spans="4:4">
      <c r="D976" s="17"/>
    </row>
    <row r="977" ht="17.25" spans="4:4">
      <c r="D977" s="17"/>
    </row>
    <row r="978" ht="17.25" spans="4:4">
      <c r="D978" s="17"/>
    </row>
    <row r="979" ht="17.25" spans="4:4">
      <c r="D979" s="17"/>
    </row>
    <row r="980" ht="17.25" spans="4:4">
      <c r="D980" s="17"/>
    </row>
    <row r="981" ht="17.25" spans="4:4">
      <c r="D981" s="17"/>
    </row>
    <row r="982" ht="17.25" spans="4:4">
      <c r="D982" s="17"/>
    </row>
    <row r="983" ht="17.25" spans="4:4">
      <c r="D983" s="17"/>
    </row>
    <row r="984" ht="17.25" spans="4:4">
      <c r="D984" s="17"/>
    </row>
    <row r="985" ht="17.25" spans="4:4">
      <c r="D985" s="17"/>
    </row>
    <row r="986" ht="17.25" spans="4:4">
      <c r="D986" s="17"/>
    </row>
    <row r="987" ht="17.25" spans="4:4">
      <c r="D987" s="17"/>
    </row>
    <row r="988" ht="17.25" spans="4:4">
      <c r="D988" s="17"/>
    </row>
    <row r="989" ht="17.25" spans="4:4">
      <c r="D989" s="17"/>
    </row>
    <row r="990" ht="17.25" spans="4:4">
      <c r="D990" s="17"/>
    </row>
    <row r="991" ht="17.25" spans="4:4">
      <c r="D991" s="17"/>
    </row>
    <row r="992" ht="17.25" spans="4:4">
      <c r="D992" s="17"/>
    </row>
    <row r="993" ht="17.25" spans="4:4">
      <c r="D993" s="17"/>
    </row>
    <row r="994" ht="17.25" spans="4:4">
      <c r="D994" s="17"/>
    </row>
    <row r="995" ht="17.25" spans="4:4">
      <c r="D995" s="17"/>
    </row>
    <row r="996" ht="17.25" spans="4:4">
      <c r="D996" s="1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2025-08-21T17:03:12Z</dcterms:created>
  <dcterms:modified xsi:type="dcterms:W3CDTF">2025-08-21T17:37:33Z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A20E39D40EDCAFBFAEE5A66804CB2EB6_43</vt:lpwstr>
  </property>
  <property fmtid="{D5CDD505-2E9C-101B-9397-08002B2CF9AE}" pid="3" name="KSOProductBuildVer">
    <vt:lpwstr>2052-12.8.2.21176</vt:lpwstr>
  </property>
</Properties>
</file>