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Users/james/Desktop/Price/"/>
    </mc:Choice>
  </mc:AlternateContent>
  <xr:revisionPtr revIDLastSave="0" documentId="13_ncr:1_{450C14C7-5FEC-6144-9904-133D5BFA742A}" xr6:coauthVersionLast="47" xr6:coauthVersionMax="47" xr10:uidLastSave="{00000000-0000-0000-0000-000000000000}"/>
  <bookViews>
    <workbookView xWindow="0" yWindow="760" windowWidth="30240" windowHeight="17600" xr2:uid="{00000000-000D-0000-FFFF-FFFF00000000}"/>
  </bookViews>
  <sheets>
    <sheet name="Overview" sheetId="1" r:id="rId1"/>
    <sheet name="iPhone Used Intl" sheetId="3" r:id="rId2"/>
    <sheet name="iPhone Refurbished" sheetId="4" r:id="rId3"/>
    <sheet name="Samsung Refurbished" sheetId="5" r:id="rId4"/>
    <sheet name="iPad Used" sheetId="6" r:id="rId5"/>
    <sheet name="Specail Offer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6" l="1"/>
  <c r="C77" i="6"/>
  <c r="B77" i="6"/>
  <c r="A77" i="6"/>
  <c r="D76" i="6"/>
  <c r="C76" i="6"/>
  <c r="B76" i="6"/>
  <c r="A76" i="6"/>
  <c r="D75" i="6"/>
  <c r="C75" i="6"/>
  <c r="B75" i="6"/>
  <c r="A75" i="6"/>
  <c r="D74" i="6"/>
  <c r="C74" i="6"/>
  <c r="B74" i="6"/>
  <c r="A74" i="6"/>
  <c r="D73" i="6"/>
  <c r="C73" i="6"/>
  <c r="B73" i="6"/>
  <c r="A73" i="6"/>
  <c r="D72" i="6"/>
  <c r="C72" i="6"/>
  <c r="B72" i="6"/>
  <c r="A72" i="6"/>
  <c r="D71" i="6"/>
  <c r="C71" i="6"/>
  <c r="B71" i="6"/>
  <c r="A71" i="6"/>
  <c r="D70" i="6"/>
  <c r="C70" i="6"/>
  <c r="B70" i="6"/>
  <c r="A70" i="6"/>
  <c r="D69" i="6"/>
  <c r="C69" i="6"/>
  <c r="B69" i="6"/>
  <c r="A69" i="6"/>
  <c r="D68" i="6"/>
  <c r="C68" i="6"/>
  <c r="B68" i="6"/>
  <c r="A68" i="6"/>
  <c r="D67" i="6"/>
  <c r="C67" i="6"/>
  <c r="B67" i="6"/>
  <c r="A67" i="6"/>
  <c r="D66" i="6"/>
  <c r="C66" i="6"/>
  <c r="B66" i="6"/>
  <c r="A66" i="6"/>
  <c r="D65" i="6"/>
  <c r="C65" i="6"/>
  <c r="B65" i="6"/>
  <c r="A65" i="6"/>
  <c r="D64" i="6"/>
  <c r="C64" i="6"/>
  <c r="B64" i="6"/>
  <c r="A64" i="6"/>
  <c r="D63" i="6"/>
  <c r="C63" i="6"/>
  <c r="B63" i="6"/>
  <c r="A63" i="6"/>
  <c r="D62" i="6"/>
  <c r="C62" i="6"/>
  <c r="B62" i="6"/>
  <c r="A62" i="6"/>
  <c r="D61" i="6"/>
  <c r="C61" i="6"/>
  <c r="B61" i="6"/>
  <c r="A61" i="6"/>
  <c r="D60" i="6"/>
  <c r="C60" i="6"/>
  <c r="B60" i="6"/>
  <c r="A60" i="6"/>
  <c r="D59" i="6"/>
  <c r="C59" i="6"/>
  <c r="B59" i="6"/>
  <c r="A59" i="6"/>
  <c r="D58" i="6"/>
  <c r="C58" i="6"/>
  <c r="B58" i="6"/>
  <c r="A58" i="6"/>
  <c r="D57" i="6"/>
  <c r="C57" i="6"/>
  <c r="B57" i="6"/>
  <c r="A57" i="6"/>
  <c r="D56" i="6"/>
  <c r="C56" i="6"/>
  <c r="B56" i="6"/>
  <c r="A56" i="6"/>
  <c r="D55" i="6"/>
  <c r="C55" i="6"/>
  <c r="B55" i="6"/>
  <c r="A55" i="6"/>
  <c r="D54" i="6"/>
  <c r="C54" i="6"/>
  <c r="B54" i="6"/>
  <c r="A54" i="6"/>
  <c r="D53" i="6"/>
  <c r="C53" i="6"/>
  <c r="B53" i="6"/>
  <c r="A53" i="6"/>
  <c r="D52" i="6"/>
  <c r="C52" i="6"/>
  <c r="B52" i="6"/>
  <c r="A52" i="6"/>
  <c r="D51" i="6"/>
  <c r="C51" i="6"/>
  <c r="B51" i="6"/>
  <c r="A51" i="6"/>
  <c r="D50" i="6"/>
  <c r="C50" i="6"/>
  <c r="B50" i="6"/>
  <c r="A50" i="6"/>
  <c r="D49" i="6"/>
  <c r="C49" i="6"/>
  <c r="B49" i="6"/>
  <c r="A49" i="6"/>
  <c r="D48" i="6"/>
  <c r="C48" i="6"/>
  <c r="B48" i="6"/>
  <c r="A48" i="6"/>
  <c r="D47" i="6"/>
  <c r="C47" i="6"/>
  <c r="B47" i="6"/>
  <c r="A47" i="6"/>
  <c r="D46" i="6"/>
  <c r="C46" i="6"/>
  <c r="B46" i="6"/>
  <c r="A46" i="6"/>
  <c r="D45" i="6"/>
  <c r="C45" i="6"/>
  <c r="B45" i="6"/>
  <c r="A45" i="6"/>
  <c r="D44" i="6"/>
  <c r="C44" i="6"/>
  <c r="B44" i="6"/>
  <c r="A44" i="6"/>
  <c r="D43" i="6"/>
  <c r="C43" i="6"/>
  <c r="B43" i="6"/>
  <c r="A43" i="6"/>
  <c r="D42" i="6"/>
  <c r="C42" i="6"/>
  <c r="B42" i="6"/>
  <c r="A42" i="6"/>
  <c r="D41" i="6"/>
  <c r="C41" i="6"/>
  <c r="B41" i="6"/>
  <c r="A41" i="6"/>
  <c r="D40" i="6"/>
  <c r="C40" i="6"/>
  <c r="B40" i="6"/>
  <c r="A40" i="6"/>
  <c r="D39" i="6"/>
  <c r="C39" i="6"/>
  <c r="B39" i="6"/>
  <c r="A39" i="6"/>
  <c r="D38" i="6"/>
  <c r="C38" i="6"/>
  <c r="B38" i="6"/>
  <c r="A38" i="6"/>
  <c r="D37" i="6"/>
  <c r="C37" i="6"/>
  <c r="B37" i="6"/>
  <c r="A37" i="6"/>
  <c r="D36" i="6"/>
  <c r="C36" i="6"/>
  <c r="B36" i="6"/>
  <c r="A36" i="6"/>
  <c r="D35" i="6"/>
  <c r="C35" i="6"/>
  <c r="B35" i="6"/>
  <c r="A35" i="6"/>
  <c r="D34" i="6"/>
  <c r="C34" i="6"/>
  <c r="B34" i="6"/>
  <c r="A34" i="6"/>
  <c r="D33" i="6"/>
  <c r="C33" i="6"/>
  <c r="B33" i="6"/>
  <c r="A33" i="6"/>
  <c r="D32" i="6"/>
  <c r="C32" i="6"/>
  <c r="B32" i="6"/>
  <c r="A32" i="6"/>
  <c r="D31" i="6"/>
  <c r="C31" i="6"/>
  <c r="B31" i="6"/>
  <c r="A31" i="6"/>
  <c r="D30" i="6"/>
  <c r="C30" i="6"/>
  <c r="B30" i="6"/>
  <c r="A30" i="6"/>
  <c r="D29" i="6"/>
  <c r="C29" i="6"/>
  <c r="B29" i="6"/>
  <c r="A29" i="6"/>
  <c r="D28" i="6"/>
  <c r="C28" i="6"/>
  <c r="B28" i="6"/>
  <c r="A28" i="6"/>
  <c r="D27" i="6"/>
  <c r="C27" i="6"/>
  <c r="B27" i="6"/>
  <c r="A27" i="6"/>
  <c r="D26" i="6"/>
  <c r="C26" i="6"/>
  <c r="B26" i="6"/>
  <c r="A26" i="6"/>
  <c r="D25" i="6"/>
  <c r="C25" i="6"/>
  <c r="B25" i="6"/>
  <c r="A25" i="6"/>
  <c r="D24" i="6"/>
  <c r="C24" i="6"/>
  <c r="B24" i="6"/>
  <c r="A24" i="6"/>
  <c r="D23" i="6"/>
  <c r="C23" i="6"/>
  <c r="B23" i="6"/>
  <c r="A23" i="6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B16" i="6"/>
  <c r="A16" i="6"/>
  <c r="D15" i="6"/>
  <c r="C15" i="6"/>
  <c r="B15" i="6"/>
  <c r="A15" i="6"/>
  <c r="D14" i="6"/>
  <c r="C14" i="6"/>
  <c r="B14" i="6"/>
  <c r="A14" i="6"/>
  <c r="D13" i="6"/>
  <c r="C13" i="6"/>
  <c r="B13" i="6"/>
  <c r="A13" i="6"/>
  <c r="D12" i="6"/>
  <c r="C12" i="6"/>
  <c r="B12" i="6"/>
  <c r="A12" i="6"/>
  <c r="D11" i="6"/>
  <c r="C11" i="6"/>
  <c r="B11" i="6"/>
  <c r="A11" i="6"/>
  <c r="D10" i="6"/>
  <c r="C10" i="6"/>
  <c r="B10" i="6"/>
  <c r="A10" i="6"/>
  <c r="D9" i="6"/>
  <c r="C9" i="6"/>
  <c r="B9" i="6"/>
  <c r="A9" i="6"/>
  <c r="D8" i="6"/>
  <c r="C8" i="6"/>
  <c r="B8" i="6"/>
  <c r="A8" i="6"/>
  <c r="D7" i="6"/>
  <c r="C7" i="6"/>
  <c r="B7" i="6"/>
  <c r="A7" i="6"/>
  <c r="D6" i="6"/>
  <c r="C6" i="6"/>
  <c r="B6" i="6"/>
  <c r="A6" i="6"/>
  <c r="D5" i="6"/>
  <c r="C5" i="6"/>
  <c r="B5" i="6"/>
  <c r="A5" i="6"/>
  <c r="D4" i="6"/>
  <c r="C4" i="6"/>
  <c r="B4" i="6"/>
  <c r="A4" i="6"/>
  <c r="D3" i="6"/>
  <c r="C3" i="6"/>
  <c r="B3" i="6"/>
  <c r="A3" i="6"/>
  <c r="D2" i="6"/>
  <c r="C2" i="6"/>
  <c r="B2" i="6"/>
  <c r="A2" i="6"/>
  <c r="D1" i="6"/>
  <c r="C1" i="6"/>
  <c r="B1" i="6"/>
  <c r="A1" i="6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C2" i="5"/>
  <c r="B2" i="5"/>
  <c r="A2" i="5"/>
  <c r="C1" i="5"/>
  <c r="B1" i="5"/>
  <c r="A1" i="5"/>
  <c r="D123" i="4"/>
  <c r="C123" i="4"/>
  <c r="B123" i="4"/>
  <c r="A123" i="4"/>
  <c r="D122" i="4"/>
  <c r="C122" i="4"/>
  <c r="B122" i="4"/>
  <c r="A122" i="4"/>
  <c r="D121" i="4"/>
  <c r="C121" i="4"/>
  <c r="B121" i="4"/>
  <c r="A121" i="4"/>
  <c r="D120" i="4"/>
  <c r="C120" i="4"/>
  <c r="B120" i="4"/>
  <c r="A120" i="4"/>
  <c r="D119" i="4"/>
  <c r="C119" i="4"/>
  <c r="B119" i="4"/>
  <c r="A119" i="4"/>
  <c r="D118" i="4"/>
  <c r="C118" i="4"/>
  <c r="B118" i="4"/>
  <c r="A118" i="4"/>
  <c r="D117" i="4"/>
  <c r="C117" i="4"/>
  <c r="B117" i="4"/>
  <c r="A117" i="4"/>
  <c r="D116" i="4"/>
  <c r="C116" i="4"/>
  <c r="B116" i="4"/>
  <c r="A116" i="4"/>
  <c r="D115" i="4"/>
  <c r="C115" i="4"/>
  <c r="B115" i="4"/>
  <c r="A115" i="4"/>
  <c r="D114" i="4"/>
  <c r="C114" i="4"/>
  <c r="B114" i="4"/>
  <c r="A114" i="4"/>
  <c r="D113" i="4"/>
  <c r="C113" i="4"/>
  <c r="B113" i="4"/>
  <c r="A113" i="4"/>
  <c r="D112" i="4"/>
  <c r="C112" i="4"/>
  <c r="B112" i="4"/>
  <c r="A112" i="4"/>
  <c r="D111" i="4"/>
  <c r="C111" i="4"/>
  <c r="B111" i="4"/>
  <c r="A111" i="4"/>
  <c r="D110" i="4"/>
  <c r="C110" i="4"/>
  <c r="B110" i="4"/>
  <c r="A110" i="4"/>
  <c r="D109" i="4"/>
  <c r="C109" i="4"/>
  <c r="B109" i="4"/>
  <c r="A109" i="4"/>
  <c r="D108" i="4"/>
  <c r="C108" i="4"/>
  <c r="B108" i="4"/>
  <c r="A108" i="4"/>
  <c r="D107" i="4"/>
  <c r="C107" i="4"/>
  <c r="B107" i="4"/>
  <c r="A107" i="4"/>
  <c r="D106" i="4"/>
  <c r="C106" i="4"/>
  <c r="B106" i="4"/>
  <c r="A106" i="4"/>
  <c r="D105" i="4"/>
  <c r="C105" i="4"/>
  <c r="B105" i="4"/>
  <c r="A105" i="4"/>
  <c r="D104" i="4"/>
  <c r="C104" i="4"/>
  <c r="B104" i="4"/>
  <c r="A104" i="4"/>
  <c r="D103" i="4"/>
  <c r="C103" i="4"/>
  <c r="B103" i="4"/>
  <c r="A103" i="4"/>
  <c r="D102" i="4"/>
  <c r="C102" i="4"/>
  <c r="B102" i="4"/>
  <c r="A102" i="4"/>
  <c r="D101" i="4"/>
  <c r="C101" i="4"/>
  <c r="B101" i="4"/>
  <c r="A101" i="4"/>
  <c r="D100" i="4"/>
  <c r="C100" i="4"/>
  <c r="B100" i="4"/>
  <c r="A100" i="4"/>
  <c r="D99" i="4"/>
  <c r="C99" i="4"/>
  <c r="B99" i="4"/>
  <c r="A99" i="4"/>
  <c r="D98" i="4"/>
  <c r="C98" i="4"/>
  <c r="B98" i="4"/>
  <c r="A98" i="4"/>
  <c r="D97" i="4"/>
  <c r="C97" i="4"/>
  <c r="B97" i="4"/>
  <c r="A97" i="4"/>
  <c r="D96" i="4"/>
  <c r="C96" i="4"/>
  <c r="B96" i="4"/>
  <c r="A96" i="4"/>
  <c r="D95" i="4"/>
  <c r="C95" i="4"/>
  <c r="B95" i="4"/>
  <c r="A95" i="4"/>
  <c r="D94" i="4"/>
  <c r="C94" i="4"/>
  <c r="B94" i="4"/>
  <c r="A94" i="4"/>
  <c r="D93" i="4"/>
  <c r="C93" i="4"/>
  <c r="B93" i="4"/>
  <c r="A93" i="4"/>
  <c r="D92" i="4"/>
  <c r="C92" i="4"/>
  <c r="B92" i="4"/>
  <c r="A92" i="4"/>
  <c r="D91" i="4"/>
  <c r="C91" i="4"/>
  <c r="B91" i="4"/>
  <c r="A91" i="4"/>
  <c r="D90" i="4"/>
  <c r="C90" i="4"/>
  <c r="B90" i="4"/>
  <c r="A90" i="4"/>
  <c r="D89" i="4"/>
  <c r="C89" i="4"/>
  <c r="B89" i="4"/>
  <c r="A89" i="4"/>
  <c r="D88" i="4"/>
  <c r="C88" i="4"/>
  <c r="B88" i="4"/>
  <c r="A88" i="4"/>
  <c r="D87" i="4"/>
  <c r="C87" i="4"/>
  <c r="B87" i="4"/>
  <c r="A87" i="4"/>
  <c r="D86" i="4"/>
  <c r="C86" i="4"/>
  <c r="B86" i="4"/>
  <c r="A86" i="4"/>
  <c r="D85" i="4"/>
  <c r="C85" i="4"/>
  <c r="B85" i="4"/>
  <c r="A85" i="4"/>
  <c r="D84" i="4"/>
  <c r="C84" i="4"/>
  <c r="B84" i="4"/>
  <c r="A84" i="4"/>
  <c r="D83" i="4"/>
  <c r="C83" i="4"/>
  <c r="B83" i="4"/>
  <c r="A83" i="4"/>
  <c r="D82" i="4"/>
  <c r="C82" i="4"/>
  <c r="B82" i="4"/>
  <c r="A82" i="4"/>
  <c r="D81" i="4"/>
  <c r="C81" i="4"/>
  <c r="B81" i="4"/>
  <c r="A81" i="4"/>
  <c r="D80" i="4"/>
  <c r="C80" i="4"/>
  <c r="B80" i="4"/>
  <c r="A80" i="4"/>
  <c r="D79" i="4"/>
  <c r="C79" i="4"/>
  <c r="B79" i="4"/>
  <c r="A79" i="4"/>
  <c r="D78" i="4"/>
  <c r="C78" i="4"/>
  <c r="B78" i="4"/>
  <c r="A78" i="4"/>
  <c r="D77" i="4"/>
  <c r="C77" i="4"/>
  <c r="B77" i="4"/>
  <c r="A77" i="4"/>
  <c r="D76" i="4"/>
  <c r="C76" i="4"/>
  <c r="B76" i="4"/>
  <c r="A76" i="4"/>
  <c r="D75" i="4"/>
  <c r="C75" i="4"/>
  <c r="B75" i="4"/>
  <c r="A75" i="4"/>
  <c r="D74" i="4"/>
  <c r="C74" i="4"/>
  <c r="B74" i="4"/>
  <c r="A74" i="4"/>
  <c r="D73" i="4"/>
  <c r="C73" i="4"/>
  <c r="B73" i="4"/>
  <c r="A73" i="4"/>
  <c r="D72" i="4"/>
  <c r="C72" i="4"/>
  <c r="B72" i="4"/>
  <c r="A72" i="4"/>
  <c r="D71" i="4"/>
  <c r="C71" i="4"/>
  <c r="B71" i="4"/>
  <c r="A71" i="4"/>
  <c r="D70" i="4"/>
  <c r="C70" i="4"/>
  <c r="B70" i="4"/>
  <c r="A70" i="4"/>
  <c r="D69" i="4"/>
  <c r="C69" i="4"/>
  <c r="B69" i="4"/>
  <c r="A69" i="4"/>
  <c r="D68" i="4"/>
  <c r="C68" i="4"/>
  <c r="B68" i="4"/>
  <c r="A68" i="4"/>
  <c r="D67" i="4"/>
  <c r="C67" i="4"/>
  <c r="B67" i="4"/>
  <c r="A67" i="4"/>
  <c r="D66" i="4"/>
  <c r="C66" i="4"/>
  <c r="B66" i="4"/>
  <c r="A66" i="4"/>
  <c r="D65" i="4"/>
  <c r="C65" i="4"/>
  <c r="B65" i="4"/>
  <c r="A65" i="4"/>
  <c r="D64" i="4"/>
  <c r="C64" i="4"/>
  <c r="B64" i="4"/>
  <c r="A64" i="4"/>
  <c r="D63" i="4"/>
  <c r="C63" i="4"/>
  <c r="B63" i="4"/>
  <c r="A63" i="4"/>
  <c r="D62" i="4"/>
  <c r="C62" i="4"/>
  <c r="B62" i="4"/>
  <c r="A62" i="4"/>
  <c r="D61" i="4"/>
  <c r="C61" i="4"/>
  <c r="B61" i="4"/>
  <c r="A61" i="4"/>
  <c r="D60" i="4"/>
  <c r="C60" i="4"/>
  <c r="B60" i="4"/>
  <c r="A60" i="4"/>
  <c r="D59" i="4"/>
  <c r="C59" i="4"/>
  <c r="B59" i="4"/>
  <c r="A59" i="4"/>
  <c r="D58" i="4"/>
  <c r="C58" i="4"/>
  <c r="B58" i="4"/>
  <c r="A58" i="4"/>
  <c r="D57" i="4"/>
  <c r="C57" i="4"/>
  <c r="B57" i="4"/>
  <c r="A57" i="4"/>
  <c r="D56" i="4"/>
  <c r="C56" i="4"/>
  <c r="B56" i="4"/>
  <c r="A56" i="4"/>
  <c r="D55" i="4"/>
  <c r="C55" i="4"/>
  <c r="B55" i="4"/>
  <c r="A55" i="4"/>
  <c r="D54" i="4"/>
  <c r="C54" i="4"/>
  <c r="B54" i="4"/>
  <c r="A54" i="4"/>
  <c r="D53" i="4"/>
  <c r="C53" i="4"/>
  <c r="B53" i="4"/>
  <c r="A53" i="4"/>
  <c r="D52" i="4"/>
  <c r="C52" i="4"/>
  <c r="B52" i="4"/>
  <c r="A52" i="4"/>
  <c r="D51" i="4"/>
  <c r="C51" i="4"/>
  <c r="B51" i="4"/>
  <c r="A51" i="4"/>
  <c r="D50" i="4"/>
  <c r="C50" i="4"/>
  <c r="B50" i="4"/>
  <c r="A50" i="4"/>
  <c r="D49" i="4"/>
  <c r="C49" i="4"/>
  <c r="B49" i="4"/>
  <c r="A49" i="4"/>
  <c r="D48" i="4"/>
  <c r="C48" i="4"/>
  <c r="B48" i="4"/>
  <c r="A48" i="4"/>
  <c r="D47" i="4"/>
  <c r="C47" i="4"/>
  <c r="B47" i="4"/>
  <c r="A47" i="4"/>
  <c r="D46" i="4"/>
  <c r="C46" i="4"/>
  <c r="B46" i="4"/>
  <c r="A46" i="4"/>
  <c r="D45" i="4"/>
  <c r="C45" i="4"/>
  <c r="B45" i="4"/>
  <c r="A45" i="4"/>
  <c r="D44" i="4"/>
  <c r="C44" i="4"/>
  <c r="B44" i="4"/>
  <c r="A44" i="4"/>
  <c r="D43" i="4"/>
  <c r="C43" i="4"/>
  <c r="B43" i="4"/>
  <c r="A43" i="4"/>
  <c r="D42" i="4"/>
  <c r="C42" i="4"/>
  <c r="B42" i="4"/>
  <c r="A42" i="4"/>
  <c r="D41" i="4"/>
  <c r="C41" i="4"/>
  <c r="B41" i="4"/>
  <c r="A41" i="4"/>
  <c r="D40" i="4"/>
  <c r="C40" i="4"/>
  <c r="B40" i="4"/>
  <c r="A40" i="4"/>
  <c r="D39" i="4"/>
  <c r="C39" i="4"/>
  <c r="B39" i="4"/>
  <c r="A39" i="4"/>
  <c r="D38" i="4"/>
  <c r="C38" i="4"/>
  <c r="B38" i="4"/>
  <c r="A38" i="4"/>
  <c r="D37" i="4"/>
  <c r="C37" i="4"/>
  <c r="B37" i="4"/>
  <c r="A37" i="4"/>
  <c r="D36" i="4"/>
  <c r="C36" i="4"/>
  <c r="B36" i="4"/>
  <c r="A36" i="4"/>
  <c r="D35" i="4"/>
  <c r="C35" i="4"/>
  <c r="B35" i="4"/>
  <c r="A35" i="4"/>
  <c r="D34" i="4"/>
  <c r="C34" i="4"/>
  <c r="B34" i="4"/>
  <c r="A34" i="4"/>
  <c r="D33" i="4"/>
  <c r="C33" i="4"/>
  <c r="B33" i="4"/>
  <c r="A33" i="4"/>
  <c r="D32" i="4"/>
  <c r="C32" i="4"/>
  <c r="B32" i="4"/>
  <c r="A32" i="4"/>
  <c r="D31" i="4"/>
  <c r="C31" i="4"/>
  <c r="B31" i="4"/>
  <c r="A31" i="4"/>
  <c r="D30" i="4"/>
  <c r="C30" i="4"/>
  <c r="B30" i="4"/>
  <c r="A30" i="4"/>
  <c r="D29" i="4"/>
  <c r="C29" i="4"/>
  <c r="B29" i="4"/>
  <c r="A29" i="4"/>
  <c r="D28" i="4"/>
  <c r="C28" i="4"/>
  <c r="B28" i="4"/>
  <c r="A28" i="4"/>
  <c r="D27" i="4"/>
  <c r="C27" i="4"/>
  <c r="B27" i="4"/>
  <c r="A27" i="4"/>
  <c r="D26" i="4"/>
  <c r="C26" i="4"/>
  <c r="B26" i="4"/>
  <c r="A26" i="4"/>
  <c r="D25" i="4"/>
  <c r="C25" i="4"/>
  <c r="B25" i="4"/>
  <c r="A25" i="4"/>
  <c r="D24" i="4"/>
  <c r="C24" i="4"/>
  <c r="B24" i="4"/>
  <c r="A24" i="4"/>
  <c r="D23" i="4"/>
  <c r="C23" i="4"/>
  <c r="B23" i="4"/>
  <c r="A23" i="4"/>
  <c r="D22" i="4"/>
  <c r="C22" i="4"/>
  <c r="B22" i="4"/>
  <c r="A22" i="4"/>
  <c r="D21" i="4"/>
  <c r="C21" i="4"/>
  <c r="B21" i="4"/>
  <c r="A21" i="4"/>
  <c r="D20" i="4"/>
  <c r="C20" i="4"/>
  <c r="B20" i="4"/>
  <c r="A20" i="4"/>
  <c r="D19" i="4"/>
  <c r="C19" i="4"/>
  <c r="B19" i="4"/>
  <c r="A19" i="4"/>
  <c r="D18" i="4"/>
  <c r="C18" i="4"/>
  <c r="B18" i="4"/>
  <c r="A18" i="4"/>
  <c r="D17" i="4"/>
  <c r="C17" i="4"/>
  <c r="B17" i="4"/>
  <c r="A17" i="4"/>
  <c r="D16" i="4"/>
  <c r="C16" i="4"/>
  <c r="B16" i="4"/>
  <c r="A16" i="4"/>
  <c r="D15" i="4"/>
  <c r="C15" i="4"/>
  <c r="B15" i="4"/>
  <c r="A15" i="4"/>
  <c r="D14" i="4"/>
  <c r="C14" i="4"/>
  <c r="B14" i="4"/>
  <c r="A14" i="4"/>
  <c r="D13" i="4"/>
  <c r="C13" i="4"/>
  <c r="B13" i="4"/>
  <c r="A13" i="4"/>
  <c r="D12" i="4"/>
  <c r="C12" i="4"/>
  <c r="B12" i="4"/>
  <c r="A12" i="4"/>
  <c r="D11" i="4"/>
  <c r="C11" i="4"/>
  <c r="B11" i="4"/>
  <c r="A11" i="4"/>
  <c r="D10" i="4"/>
  <c r="C10" i="4"/>
  <c r="B10" i="4"/>
  <c r="A10" i="4"/>
  <c r="D9" i="4"/>
  <c r="C9" i="4"/>
  <c r="B9" i="4"/>
  <c r="A9" i="4"/>
  <c r="D8" i="4"/>
  <c r="C8" i="4"/>
  <c r="B8" i="4"/>
  <c r="A8" i="4"/>
  <c r="D7" i="4"/>
  <c r="C7" i="4"/>
  <c r="B7" i="4"/>
  <c r="A7" i="4"/>
  <c r="D6" i="4"/>
  <c r="C6" i="4"/>
  <c r="B6" i="4"/>
  <c r="A6" i="4"/>
  <c r="D5" i="4"/>
  <c r="C5" i="4"/>
  <c r="B5" i="4"/>
  <c r="A5" i="4"/>
  <c r="D4" i="4"/>
  <c r="C4" i="4"/>
  <c r="B4" i="4"/>
  <c r="A4" i="4"/>
  <c r="D3" i="4"/>
  <c r="C3" i="4"/>
  <c r="B3" i="4"/>
  <c r="A3" i="4"/>
  <c r="D2" i="4"/>
  <c r="C2" i="4"/>
  <c r="B2" i="4"/>
  <c r="A2" i="4"/>
  <c r="D1" i="4"/>
  <c r="C1" i="4"/>
  <c r="B1" i="4"/>
  <c r="A1" i="4"/>
  <c r="D157" i="3"/>
  <c r="C157" i="3"/>
  <c r="B157" i="3"/>
  <c r="A157" i="3"/>
  <c r="D156" i="3"/>
  <c r="C156" i="3"/>
  <c r="B156" i="3"/>
  <c r="A156" i="3"/>
  <c r="D155" i="3"/>
  <c r="C155" i="3"/>
  <c r="B155" i="3"/>
  <c r="A155" i="3"/>
  <c r="D154" i="3"/>
  <c r="C154" i="3"/>
  <c r="B154" i="3"/>
  <c r="A154" i="3"/>
  <c r="D153" i="3"/>
  <c r="C153" i="3"/>
  <c r="B153" i="3"/>
  <c r="A153" i="3"/>
  <c r="D152" i="3"/>
  <c r="C152" i="3"/>
  <c r="B152" i="3"/>
  <c r="A152" i="3"/>
  <c r="D151" i="3"/>
  <c r="C151" i="3"/>
  <c r="B151" i="3"/>
  <c r="A151" i="3"/>
  <c r="D150" i="3"/>
  <c r="C150" i="3"/>
  <c r="B150" i="3"/>
  <c r="A150" i="3"/>
  <c r="D149" i="3"/>
  <c r="C149" i="3"/>
  <c r="B149" i="3"/>
  <c r="A149" i="3"/>
  <c r="D148" i="3"/>
  <c r="C148" i="3"/>
  <c r="B148" i="3"/>
  <c r="A148" i="3"/>
  <c r="D147" i="3"/>
  <c r="C147" i="3"/>
  <c r="B147" i="3"/>
  <c r="A147" i="3"/>
  <c r="D146" i="3"/>
  <c r="C146" i="3"/>
  <c r="B146" i="3"/>
  <c r="A146" i="3"/>
  <c r="D145" i="3"/>
  <c r="C145" i="3"/>
  <c r="B145" i="3"/>
  <c r="A145" i="3"/>
  <c r="D144" i="3"/>
  <c r="C144" i="3"/>
  <c r="B144" i="3"/>
  <c r="A144" i="3"/>
  <c r="D143" i="3"/>
  <c r="C143" i="3"/>
  <c r="B143" i="3"/>
  <c r="A143" i="3"/>
  <c r="D142" i="3"/>
  <c r="C142" i="3"/>
  <c r="B142" i="3"/>
  <c r="A142" i="3"/>
  <c r="D141" i="3"/>
  <c r="C141" i="3"/>
  <c r="B141" i="3"/>
  <c r="A141" i="3"/>
  <c r="D140" i="3"/>
  <c r="C140" i="3"/>
  <c r="B140" i="3"/>
  <c r="A140" i="3"/>
  <c r="D139" i="3"/>
  <c r="C139" i="3"/>
  <c r="B139" i="3"/>
  <c r="A139" i="3"/>
  <c r="D138" i="3"/>
  <c r="C138" i="3"/>
  <c r="B138" i="3"/>
  <c r="A138" i="3"/>
  <c r="D137" i="3"/>
  <c r="C137" i="3"/>
  <c r="B137" i="3"/>
  <c r="A137" i="3"/>
  <c r="D136" i="3"/>
  <c r="C136" i="3"/>
  <c r="B136" i="3"/>
  <c r="A136" i="3"/>
  <c r="D135" i="3"/>
  <c r="C135" i="3"/>
  <c r="B135" i="3"/>
  <c r="A135" i="3"/>
  <c r="D134" i="3"/>
  <c r="C134" i="3"/>
  <c r="B134" i="3"/>
  <c r="A134" i="3"/>
  <c r="D133" i="3"/>
  <c r="C133" i="3"/>
  <c r="B133" i="3"/>
  <c r="A133" i="3"/>
  <c r="D132" i="3"/>
  <c r="C132" i="3"/>
  <c r="B132" i="3"/>
  <c r="A132" i="3"/>
  <c r="D131" i="3"/>
  <c r="C131" i="3"/>
  <c r="B131" i="3"/>
  <c r="A131" i="3"/>
  <c r="D130" i="3"/>
  <c r="C130" i="3"/>
  <c r="B130" i="3"/>
  <c r="A130" i="3"/>
  <c r="D129" i="3"/>
  <c r="C129" i="3"/>
  <c r="B129" i="3"/>
  <c r="A129" i="3"/>
  <c r="D128" i="3"/>
  <c r="C128" i="3"/>
  <c r="B128" i="3"/>
  <c r="A128" i="3"/>
  <c r="D127" i="3"/>
  <c r="C127" i="3"/>
  <c r="B127" i="3"/>
  <c r="A127" i="3"/>
  <c r="D126" i="3"/>
  <c r="C126" i="3"/>
  <c r="B126" i="3"/>
  <c r="A126" i="3"/>
  <c r="D125" i="3"/>
  <c r="C125" i="3"/>
  <c r="B125" i="3"/>
  <c r="A125" i="3"/>
  <c r="D124" i="3"/>
  <c r="C124" i="3"/>
  <c r="B124" i="3"/>
  <c r="A124" i="3"/>
  <c r="D123" i="3"/>
  <c r="C123" i="3"/>
  <c r="B123" i="3"/>
  <c r="A123" i="3"/>
  <c r="D122" i="3"/>
  <c r="C122" i="3"/>
  <c r="B122" i="3"/>
  <c r="A122" i="3"/>
  <c r="D121" i="3"/>
  <c r="C121" i="3"/>
  <c r="B121" i="3"/>
  <c r="A121" i="3"/>
  <c r="D120" i="3"/>
  <c r="C120" i="3"/>
  <c r="B120" i="3"/>
  <c r="A120" i="3"/>
  <c r="D119" i="3"/>
  <c r="C119" i="3"/>
  <c r="B119" i="3"/>
  <c r="A119" i="3"/>
  <c r="D118" i="3"/>
  <c r="C118" i="3"/>
  <c r="B118" i="3"/>
  <c r="A118" i="3"/>
  <c r="D117" i="3"/>
  <c r="C117" i="3"/>
  <c r="B117" i="3"/>
  <c r="A117" i="3"/>
  <c r="D116" i="3"/>
  <c r="C116" i="3"/>
  <c r="B116" i="3"/>
  <c r="A116" i="3"/>
  <c r="D115" i="3"/>
  <c r="C115" i="3"/>
  <c r="B115" i="3"/>
  <c r="A115" i="3"/>
  <c r="D114" i="3"/>
  <c r="C114" i="3"/>
  <c r="B114" i="3"/>
  <c r="A114" i="3"/>
  <c r="D113" i="3"/>
  <c r="C113" i="3"/>
  <c r="B113" i="3"/>
  <c r="A113" i="3"/>
  <c r="D112" i="3"/>
  <c r="C112" i="3"/>
  <c r="B112" i="3"/>
  <c r="A112" i="3"/>
  <c r="D111" i="3"/>
  <c r="C111" i="3"/>
  <c r="B111" i="3"/>
  <c r="A111" i="3"/>
  <c r="D110" i="3"/>
  <c r="C110" i="3"/>
  <c r="B110" i="3"/>
  <c r="A110" i="3"/>
  <c r="D109" i="3"/>
  <c r="C109" i="3"/>
  <c r="B109" i="3"/>
  <c r="A109" i="3"/>
  <c r="D108" i="3"/>
  <c r="C108" i="3"/>
  <c r="B108" i="3"/>
  <c r="A108" i="3"/>
  <c r="D107" i="3"/>
  <c r="C107" i="3"/>
  <c r="B107" i="3"/>
  <c r="A107" i="3"/>
  <c r="D106" i="3"/>
  <c r="C106" i="3"/>
  <c r="B106" i="3"/>
  <c r="A106" i="3"/>
  <c r="D105" i="3"/>
  <c r="C105" i="3"/>
  <c r="B105" i="3"/>
  <c r="A105" i="3"/>
  <c r="D104" i="3"/>
  <c r="C104" i="3"/>
  <c r="B104" i="3"/>
  <c r="A104" i="3"/>
  <c r="D103" i="3"/>
  <c r="C103" i="3"/>
  <c r="B103" i="3"/>
  <c r="A103" i="3"/>
  <c r="D102" i="3"/>
  <c r="C102" i="3"/>
  <c r="B102" i="3"/>
  <c r="A102" i="3"/>
  <c r="D101" i="3"/>
  <c r="C101" i="3"/>
  <c r="B101" i="3"/>
  <c r="A101" i="3"/>
  <c r="D100" i="3"/>
  <c r="C100" i="3"/>
  <c r="B100" i="3"/>
  <c r="A100" i="3"/>
  <c r="D99" i="3"/>
  <c r="C99" i="3"/>
  <c r="B99" i="3"/>
  <c r="A99" i="3"/>
  <c r="D98" i="3"/>
  <c r="C98" i="3"/>
  <c r="B98" i="3"/>
  <c r="A98" i="3"/>
  <c r="D97" i="3"/>
  <c r="C97" i="3"/>
  <c r="B97" i="3"/>
  <c r="A97" i="3"/>
  <c r="D96" i="3"/>
  <c r="C96" i="3"/>
  <c r="B96" i="3"/>
  <c r="A96" i="3"/>
  <c r="D95" i="3"/>
  <c r="C95" i="3"/>
  <c r="B95" i="3"/>
  <c r="A95" i="3"/>
  <c r="D94" i="3"/>
  <c r="C94" i="3"/>
  <c r="B94" i="3"/>
  <c r="A94" i="3"/>
  <c r="D93" i="3"/>
  <c r="C93" i="3"/>
  <c r="B93" i="3"/>
  <c r="A93" i="3"/>
  <c r="D92" i="3"/>
  <c r="C92" i="3"/>
  <c r="B92" i="3"/>
  <c r="A92" i="3"/>
  <c r="D91" i="3"/>
  <c r="C91" i="3"/>
  <c r="B91" i="3"/>
  <c r="A91" i="3"/>
  <c r="D90" i="3"/>
  <c r="C90" i="3"/>
  <c r="B90" i="3"/>
  <c r="A90" i="3"/>
  <c r="D89" i="3"/>
  <c r="C89" i="3"/>
  <c r="B89" i="3"/>
  <c r="A89" i="3"/>
  <c r="D88" i="3"/>
  <c r="C88" i="3"/>
  <c r="B88" i="3"/>
  <c r="A88" i="3"/>
  <c r="D87" i="3"/>
  <c r="C87" i="3"/>
  <c r="B87" i="3"/>
  <c r="A87" i="3"/>
  <c r="D86" i="3"/>
  <c r="C86" i="3"/>
  <c r="B86" i="3"/>
  <c r="A86" i="3"/>
  <c r="D85" i="3"/>
  <c r="C85" i="3"/>
  <c r="B85" i="3"/>
  <c r="A85" i="3"/>
  <c r="D84" i="3"/>
  <c r="C84" i="3"/>
  <c r="B84" i="3"/>
  <c r="A84" i="3"/>
  <c r="D83" i="3"/>
  <c r="C83" i="3"/>
  <c r="B83" i="3"/>
  <c r="A83" i="3"/>
  <c r="D82" i="3"/>
  <c r="C82" i="3"/>
  <c r="B82" i="3"/>
  <c r="A82" i="3"/>
  <c r="D81" i="3"/>
  <c r="C81" i="3"/>
  <c r="B81" i="3"/>
  <c r="A81" i="3"/>
  <c r="D80" i="3"/>
  <c r="C80" i="3"/>
  <c r="B80" i="3"/>
  <c r="A80" i="3"/>
  <c r="D79" i="3"/>
  <c r="C79" i="3"/>
  <c r="B79" i="3"/>
  <c r="A79" i="3"/>
  <c r="D78" i="3"/>
  <c r="C78" i="3"/>
  <c r="B78" i="3"/>
  <c r="A78" i="3"/>
  <c r="D77" i="3"/>
  <c r="C77" i="3"/>
  <c r="B77" i="3"/>
  <c r="A77" i="3"/>
  <c r="D76" i="3"/>
  <c r="C76" i="3"/>
  <c r="B76" i="3"/>
  <c r="A76" i="3"/>
  <c r="D75" i="3"/>
  <c r="C75" i="3"/>
  <c r="B75" i="3"/>
  <c r="A75" i="3"/>
  <c r="D74" i="3"/>
  <c r="C74" i="3"/>
  <c r="B74" i="3"/>
  <c r="A74" i="3"/>
  <c r="D73" i="3"/>
  <c r="C73" i="3"/>
  <c r="B73" i="3"/>
  <c r="A73" i="3"/>
  <c r="D72" i="3"/>
  <c r="C72" i="3"/>
  <c r="B72" i="3"/>
  <c r="A72" i="3"/>
  <c r="D71" i="3"/>
  <c r="C71" i="3"/>
  <c r="B71" i="3"/>
  <c r="A71" i="3"/>
  <c r="D70" i="3"/>
  <c r="C70" i="3"/>
  <c r="B70" i="3"/>
  <c r="A70" i="3"/>
  <c r="D69" i="3"/>
  <c r="C69" i="3"/>
  <c r="B69" i="3"/>
  <c r="A69" i="3"/>
  <c r="D68" i="3"/>
  <c r="C68" i="3"/>
  <c r="B68" i="3"/>
  <c r="A68" i="3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D6" i="3"/>
  <c r="C6" i="3"/>
  <c r="B6" i="3"/>
  <c r="A6" i="3"/>
  <c r="D5" i="3"/>
  <c r="C5" i="3"/>
  <c r="B5" i="3"/>
  <c r="A5" i="3"/>
  <c r="D4" i="3"/>
  <c r="C4" i="3"/>
  <c r="B4" i="3"/>
  <c r="A4" i="3"/>
  <c r="D3" i="3"/>
  <c r="C3" i="3"/>
  <c r="B3" i="3"/>
  <c r="A3" i="3"/>
  <c r="D2" i="3"/>
  <c r="C2" i="3"/>
  <c r="B2" i="3"/>
  <c r="A2" i="3"/>
  <c r="D1" i="3"/>
  <c r="C1" i="3"/>
  <c r="B1" i="3"/>
  <c r="A1" i="3"/>
</calcChain>
</file>

<file path=xl/sharedStrings.xml><?xml version="1.0" encoding="utf-8"?>
<sst xmlns="http://schemas.openxmlformats.org/spreadsheetml/2006/main" count="53" uniqueCount="47">
  <si>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</si>
  <si>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</si>
  <si>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</si>
  <si>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</si>
  <si>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</si>
  <si>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family val="4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</si>
  <si>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</si>
  <si>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</si>
  <si>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</si>
  <si>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family val="4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</si>
  <si>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</si>
  <si>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</si>
  <si>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</si>
  <si>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</si>
  <si>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</si>
  <si>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</si>
  <si>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</si>
  <si>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</si>
  <si>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</si>
  <si>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</si>
  <si>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</si>
  <si>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</si>
  <si>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</si>
  <si>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</si>
  <si>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</si>
  <si>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</si>
  <si>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</si>
  <si>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</si>
  <si>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</si>
  <si>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Version</t>
  </si>
  <si>
    <t>Price</t>
  </si>
  <si>
    <t>Qty.</t>
  </si>
  <si>
    <t>iPhone 13 128GB</t>
  </si>
  <si>
    <t>Mix</t>
  </si>
  <si>
    <t>100+</t>
  </si>
  <si>
    <t>iPhone 13 Mini 128GB</t>
  </si>
  <si>
    <t>Intl</t>
  </si>
  <si>
    <t>AB</t>
  </si>
  <si>
    <t>iPhone 15 Pro 128G</t>
  </si>
  <si>
    <t>iPhone 15 Pro 256G</t>
  </si>
  <si>
    <t>*Remarks: International version with physical SIM card slot and eSIM</t>
  </si>
  <si>
    <t>Battery Replacement Pricing (New OEM Battery):
iPhone 13 &amp; older models: +$10
iPhone 14 series: +$15
iPhone 15 &amp; newer: +$20</t>
  </si>
  <si>
    <t>Battery Replacement Pricing (New OEM Battery):
iPhone 13 &amp; older models: +$10
iPhone 14 series: +$15
iPhone 15 &amp; newer: +$20</t>
    <phoneticPr fontId="10" type="noConversion"/>
  </si>
  <si>
    <t>*Remarks: 
1. Intl. Version:
Physical SIM slot + eSIM support
2. US Version (iPhone 14 and newer):
Physical slot modifiable* (*if acceptable)
Factory configuration: eSIM only
3. CN Version:
Dual physical SIM slots
eSIM not supported</t>
    <phoneticPr fontId="10" type="noConversion"/>
  </si>
  <si>
    <t>Intl</t>
    <phoneticPr fontId="10" type="noConversion"/>
  </si>
  <si>
    <t>A+</t>
    <phoneticPr fontId="10" type="noConversion"/>
  </si>
  <si>
    <t>iPhone 13 Pro 512GB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</si>
</sst>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$&quot;#,##0"/>
    <numFmt numFmtId="177" formatCode="yyyy\-mm\-dd;@"/>
  </numFmts>
  <fonts count="16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5"/>
      <color rgb="FF000000"/>
      <name val="等线"/>
      <family val="4"/>
      <charset val="134"/>
    </font>
    <font>
      <sz val="10"/>
      <name val="Arial"/>
      <family val="2"/>
    </font>
    <font>
      <sz val="12"/>
      <color rgb="FF000000"/>
      <name val="等线"/>
      <family val="4"/>
      <charset val="134"/>
    </font>
    <font>
      <sz val="15"/>
      <color rgb="FF000000"/>
      <name val="等线"/>
      <family val="4"/>
      <charset val="134"/>
    </font>
    <font>
      <u/>
      <sz val="15"/>
      <color rgb="FF0000FF"/>
      <name val="等线"/>
      <family val="4"/>
      <charset val="134"/>
    </font>
    <font>
      <sz val="13"/>
      <color rgb="FF000000"/>
      <name val="等线"/>
      <family val="4"/>
      <charset val="134"/>
    </font>
    <font>
      <sz val="14"/>
      <color rgb="FF000000"/>
      <name val="等线"/>
      <family val="4"/>
      <charset val="134"/>
    </font>
    <font>
      <u/>
      <sz val="15"/>
      <color rgb="FF1155CC"/>
      <name val="等线"/>
      <family val="4"/>
      <charset val="134"/>
    </font>
    <font>
      <sz val="9"/>
      <name val="Arial"/>
      <family val="3"/>
      <charset val="134"/>
      <scheme val="minor"/>
    </font>
    <font>
      <sz val="10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3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2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12" fillId="0" borderId="0" xfId="0" applyFont="1"/>
    <xf numFmtId="176" fontId="12" fillId="0" borderId="0" xfId="0" applyNumberFormat="1" applyFont="1"/>
    <xf numFmtId="49" fontId="12" fillId="0" borderId="0" xfId="0" applyNumberFormat="1" applyFont="1"/>
    <xf numFmtId="0" fontId="13" fillId="0" borderId="0" xfId="0" applyFont="1"/>
    <xf numFmtId="0" fontId="11" fillId="0" borderId="0" xfId="0" applyFont="1"/>
    <xf numFmtId="0" fontId="15" fillId="0" borderId="0" xfId="0" applyFont="1"/>
    <xf numFmtId="177" fontId="5" fillId="2" borderId="0" xfId="0" applyNumberFormat="1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/>
    <xf numFmtId="0" fontId="5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7" fillId="0" borderId="11" xfId="0" applyFont="1" applyBorder="1" applyAlignment="1">
      <alignment horizontal="center"/>
    </xf>
    <xf numFmtId="0" fontId="3" fillId="0" borderId="8" xfId="0" applyFont="1" applyBorder="1"/>
    <xf numFmtId="0" fontId="7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sales@giggletrade.com" TargetMode="External"/><Relationship Id="rId1" Type="http://schemas.openxmlformats.org/officeDocument/2006/relationships/hyperlink" Target="http://www.giggletrad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C5" sqref="C5"/>
    </sheetView>
  </sheetViews>
  <sheetFormatPr baseColWidth="10" defaultColWidth="12.6640625" defaultRowHeight="15.75" customHeight="1"/>
  <cols>
    <col min="1" max="1" width="3.5" customWidth="1"/>
    <col min="2" max="2" width="17" customWidth="1"/>
    <col min="3" max="3" width="42.1640625" customWidth="1"/>
    <col min="4" max="4" width="32.6640625" customWidth="1"/>
    <col min="5" max="5" width="46.83203125" customWidth="1"/>
    <col min="6" max="6" width="28.6640625" customWidth="1"/>
    <col min="7" max="7" width="30.6640625" customWidth="1"/>
  </cols>
  <sheetData>
    <row r="1" spans="1:26" ht="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">
      <c r="A2" s="1"/>
      <c r="B2" s="2"/>
      <c r="C2" s="30" t="s">
        <v>0</v>
      </c>
      <c r="D2" s="31"/>
      <c r="E2" s="31"/>
      <c r="F2" s="3"/>
      <c r="G2" s="4"/>
      <c r="H2" s="5"/>
      <c r="I2" s="6"/>
      <c r="J2" s="6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">
      <c r="A3" s="1"/>
      <c r="B3" s="7"/>
      <c r="C3" s="8"/>
      <c r="D3" s="8"/>
      <c r="E3" s="8"/>
      <c r="F3" s="9"/>
      <c r="G3" s="1"/>
      <c r="H3" s="6"/>
      <c r="I3" s="6"/>
      <c r="J3" s="6"/>
      <c r="K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>
      <c r="A4" s="1"/>
      <c r="B4" s="10" t="s">
        <v>1</v>
      </c>
      <c r="C4" s="29">
        <v>45862</v>
      </c>
      <c r="D4" s="11" t="s">
        <v>2</v>
      </c>
      <c r="E4" s="12" t="s">
        <v>3</v>
      </c>
      <c r="F4" s="13"/>
      <c r="G4" s="1"/>
      <c r="H4" s="6"/>
      <c r="I4" s="6"/>
      <c r="J4" s="6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">
      <c r="A5" s="1"/>
      <c r="B5" s="10" t="s">
        <v>4</v>
      </c>
      <c r="C5" s="14" t="s">
        <v>5</v>
      </c>
      <c r="D5" s="11" t="s">
        <v>6</v>
      </c>
      <c r="E5" s="12" t="s">
        <v>7</v>
      </c>
      <c r="F5" s="13"/>
      <c r="G5" s="1"/>
      <c r="H5" s="6"/>
      <c r="I5" s="6"/>
      <c r="J5" s="6"/>
      <c r="K5" s="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">
      <c r="A6" s="1"/>
      <c r="B6" s="10" t="s">
        <v>8</v>
      </c>
      <c r="C6" s="14" t="s">
        <v>9</v>
      </c>
      <c r="D6" s="15"/>
      <c r="E6" s="15"/>
      <c r="F6" s="13"/>
      <c r="G6" s="1"/>
      <c r="H6" s="6"/>
      <c r="I6" s="6"/>
      <c r="J6" s="6"/>
      <c r="K6" s="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">
      <c r="A7" s="1"/>
      <c r="B7" s="16"/>
      <c r="C7" s="15"/>
      <c r="D7" s="15"/>
      <c r="E7" s="15"/>
      <c r="F7" s="13"/>
      <c r="G7" s="1"/>
      <c r="H7" s="6"/>
      <c r="I7" s="6"/>
      <c r="J7" s="6"/>
      <c r="K7" s="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">
      <c r="A8" s="1"/>
      <c r="B8" s="17" t="s">
        <v>10</v>
      </c>
      <c r="C8" s="18" t="s">
        <v>11</v>
      </c>
      <c r="D8" s="18" t="s">
        <v>12</v>
      </c>
      <c r="E8" s="18" t="s">
        <v>13</v>
      </c>
      <c r="F8" s="18" t="s">
        <v>14</v>
      </c>
      <c r="G8" s="1"/>
      <c r="H8" s="6"/>
      <c r="I8" s="6"/>
      <c r="J8" s="6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1"/>
      <c r="B9" s="19" t="s">
        <v>15</v>
      </c>
      <c r="C9" s="32" t="s">
        <v>16</v>
      </c>
      <c r="D9" s="33"/>
      <c r="E9" s="33"/>
      <c r="F9" s="34"/>
      <c r="G9" s="1"/>
      <c r="H9" s="6"/>
      <c r="I9" s="6"/>
      <c r="J9" s="6"/>
      <c r="K9" s="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3.75" customHeight="1">
      <c r="A10" s="1"/>
      <c r="B10" s="19" t="s">
        <v>17</v>
      </c>
      <c r="C10" s="20" t="s">
        <v>18</v>
      </c>
      <c r="D10" s="20" t="s">
        <v>19</v>
      </c>
      <c r="E10" s="20" t="s">
        <v>20</v>
      </c>
      <c r="F10" s="35" t="s">
        <v>21</v>
      </c>
      <c r="G10" s="1"/>
      <c r="H10" s="6"/>
      <c r="I10" s="6"/>
      <c r="J10" s="6"/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" customHeight="1">
      <c r="A11" s="1"/>
      <c r="B11" s="19" t="s">
        <v>22</v>
      </c>
      <c r="C11" s="20" t="s">
        <v>23</v>
      </c>
      <c r="D11" s="20" t="s">
        <v>24</v>
      </c>
      <c r="E11" s="20" t="s">
        <v>25</v>
      </c>
      <c r="F11" s="36"/>
      <c r="G11" s="1"/>
      <c r="H11" s="6"/>
      <c r="I11" s="6"/>
      <c r="J11" s="6"/>
      <c r="K11" s="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5.25" customHeight="1">
      <c r="A12" s="1"/>
      <c r="B12" s="19" t="s">
        <v>26</v>
      </c>
      <c r="C12" s="37" t="s">
        <v>27</v>
      </c>
      <c r="D12" s="33"/>
      <c r="E12" s="33"/>
      <c r="F12" s="34"/>
      <c r="G12" s="1"/>
      <c r="H12" s="6"/>
      <c r="I12" s="6"/>
      <c r="J12" s="6"/>
      <c r="K12" s="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">
      <c r="A13" s="1"/>
      <c r="B13" s="6"/>
      <c r="C13" s="1"/>
      <c r="D13" s="1"/>
      <c r="E13" s="1"/>
      <c r="F13" s="1"/>
      <c r="G13" s="1"/>
      <c r="H13" s="6"/>
      <c r="I13" s="6"/>
      <c r="J13" s="6"/>
      <c r="K13" s="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C2:E2"/>
    <mergeCell ref="C9:F9"/>
    <mergeCell ref="F10:F11"/>
    <mergeCell ref="C12:F12"/>
  </mergeCells>
  <phoneticPr fontId="10" type="noConversion"/>
  <hyperlinks>
    <hyperlink ref="C5" r:id="rId1" xr:uid="{00000000-0004-0000-0000-000000000000}"/>
    <hyperlink ref="C6" r:id="rId2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996"/>
  <sheetViews>
    <sheetView workbookViewId="0">
      <selection activeCell="F27" sqref="F27"/>
    </sheetView>
  </sheetViews>
  <sheetFormatPr baseColWidth="10" defaultColWidth="12.6640625" defaultRowHeight="15.75" customHeight="1"/>
  <cols>
    <col min="1" max="1" width="26.1640625" bestFit="1" customWidth="1"/>
    <col min="2" max="2" width="7.6640625" bestFit="1" customWidth="1"/>
    <col min="3" max="3" width="9" bestFit="1" customWidth="1"/>
    <col min="4" max="4" width="8.33203125" bestFit="1" customWidth="1"/>
  </cols>
  <sheetData>
    <row r="1" spans="1:11" ht="15.75" customHeight="1">
      <c r="A1" s="23" t="str">
        <f ca="1">IFERROR(__xludf.DUMMYFUNCTION("IMPORTRANGE(""https://docs.google.com/spreadsheets/d/1eaVzK6FcHCiSWH6vlneKycaHdBQH67V1d-FjgY0Xsl4/edit?gid=246069958#gid=246069958"",""Used iPhone Intl!A:d"")"),"Model")</f>
        <v>Model</v>
      </c>
      <c r="B1" s="24" t="str">
        <f ca="1">IFERROR(__xludf.DUMMYFUNCTION("""COMPUTED_VALUE"""),"Grade")</f>
        <v>Grade</v>
      </c>
      <c r="C1" s="24" t="str">
        <f ca="1">IFERROR(__xludf.DUMMYFUNCTION("""COMPUTED_VALUE"""),"Version")</f>
        <v>Version</v>
      </c>
      <c r="D1" s="24" t="str">
        <f ca="1">IFERROR(__xludf.DUMMYFUNCTION("""COMPUTED_VALUE"""),"Price")</f>
        <v>Price</v>
      </c>
    </row>
    <row r="2" spans="1:11" ht="15.75" customHeight="1">
      <c r="A2" s="25" t="str">
        <f ca="1">IFERROR(__xludf.DUMMYFUNCTION("""COMPUTED_VALUE"""),"iPhone 11 128G")</f>
        <v>iPhone 11 128G</v>
      </c>
      <c r="B2" s="24" t="str">
        <f ca="1">IFERROR(__xludf.DUMMYFUNCTION("""COMPUTED_VALUE"""),"B")</f>
        <v>B</v>
      </c>
      <c r="C2" s="24" t="str">
        <f ca="1">IFERROR(__xludf.DUMMYFUNCTION("""COMPUTED_VALUE"""),"Intl")</f>
        <v>Intl</v>
      </c>
      <c r="D2" s="24">
        <f ca="1">IFERROR(__xludf.DUMMYFUNCTION("""COMPUTED_VALUE"""),181)</f>
        <v>181</v>
      </c>
      <c r="F2" s="26" t="s">
        <v>40</v>
      </c>
      <c r="G2" s="27"/>
      <c r="H2" s="27"/>
      <c r="I2" s="27"/>
      <c r="J2" s="27"/>
      <c r="K2" s="27"/>
    </row>
    <row r="3" spans="1:11" ht="15.75" customHeight="1">
      <c r="A3" s="25" t="str">
        <f ca="1">IFERROR(__xludf.DUMMYFUNCTION("""COMPUTED_VALUE"""),"iPhone 11 128G")</f>
        <v>iPhone 11 128G</v>
      </c>
      <c r="B3" s="24" t="str">
        <f ca="1">IFERROR(__xludf.DUMMYFUNCTION("""COMPUTED_VALUE"""),"C")</f>
        <v>C</v>
      </c>
      <c r="C3" s="24" t="str">
        <f ca="1">IFERROR(__xludf.DUMMYFUNCTION("""COMPUTED_VALUE"""),"Intl")</f>
        <v>Intl</v>
      </c>
      <c r="D3" s="24">
        <f ca="1">IFERROR(__xludf.DUMMYFUNCTION("""COMPUTED_VALUE"""),170.5)</f>
        <v>170.5</v>
      </c>
      <c r="F3" s="27"/>
      <c r="G3" s="27"/>
      <c r="H3" s="27"/>
      <c r="I3" s="27"/>
      <c r="J3" s="27"/>
      <c r="K3" s="27"/>
    </row>
    <row r="4" spans="1:11" ht="15.75" customHeight="1">
      <c r="A4" s="25" t="str">
        <f ca="1">IFERROR(__xludf.DUMMYFUNCTION("""COMPUTED_VALUE"""),"iPhone 11 256G")</f>
        <v>iPhone 11 256G</v>
      </c>
      <c r="B4" s="24" t="str">
        <f ca="1">IFERROR(__xludf.DUMMYFUNCTION("""COMPUTED_VALUE"""),"B")</f>
        <v>B</v>
      </c>
      <c r="C4" s="24" t="str">
        <f ca="1">IFERROR(__xludf.DUMMYFUNCTION("""COMPUTED_VALUE"""),"Intl")</f>
        <v>Intl</v>
      </c>
      <c r="D4" s="24">
        <f ca="1">IFERROR(__xludf.DUMMYFUNCTION("""COMPUTED_VALUE"""),198.5)</f>
        <v>198.5</v>
      </c>
      <c r="F4" s="38" t="s">
        <v>42</v>
      </c>
      <c r="G4" s="38"/>
      <c r="H4" s="38"/>
      <c r="I4" s="38"/>
      <c r="J4" s="38"/>
      <c r="K4" s="38"/>
    </row>
    <row r="5" spans="1:11" ht="15.75" customHeight="1">
      <c r="A5" s="25" t="str">
        <f ca="1">IFERROR(__xludf.DUMMYFUNCTION("""COMPUTED_VALUE"""),"iPhone 11 64G")</f>
        <v>iPhone 11 64G</v>
      </c>
      <c r="B5" s="24" t="str">
        <f ca="1">IFERROR(__xludf.DUMMYFUNCTION("""COMPUTED_VALUE"""),"A")</f>
        <v>A</v>
      </c>
      <c r="C5" s="24" t="str">
        <f ca="1">IFERROR(__xludf.DUMMYFUNCTION("""COMPUTED_VALUE"""),"Intl")</f>
        <v>Intl</v>
      </c>
      <c r="D5" s="24">
        <f ca="1">IFERROR(__xludf.DUMMYFUNCTION("""COMPUTED_VALUE"""),173.5)</f>
        <v>173.5</v>
      </c>
      <c r="F5" s="38"/>
      <c r="G5" s="38"/>
      <c r="H5" s="38"/>
      <c r="I5" s="38"/>
      <c r="J5" s="38"/>
      <c r="K5" s="38"/>
    </row>
    <row r="6" spans="1:11" ht="15.75" customHeight="1">
      <c r="A6" s="25" t="str">
        <f ca="1">IFERROR(__xludf.DUMMYFUNCTION("""COMPUTED_VALUE"""),"iPhone 11 64G")</f>
        <v>iPhone 11 64G</v>
      </c>
      <c r="B6" s="24" t="str">
        <f ca="1">IFERROR(__xludf.DUMMYFUNCTION("""COMPUTED_VALUE"""),"B")</f>
        <v>B</v>
      </c>
      <c r="C6" s="24" t="str">
        <f ca="1">IFERROR(__xludf.DUMMYFUNCTION("""COMPUTED_VALUE"""),"Intl")</f>
        <v>Intl</v>
      </c>
      <c r="D6" s="24">
        <f ca="1">IFERROR(__xludf.DUMMYFUNCTION("""COMPUTED_VALUE"""),163.5)</f>
        <v>163.5</v>
      </c>
      <c r="F6" s="38"/>
      <c r="G6" s="38"/>
      <c r="H6" s="38"/>
      <c r="I6" s="38"/>
      <c r="J6" s="38"/>
      <c r="K6" s="38"/>
    </row>
    <row r="7" spans="1:11" ht="15.75" customHeight="1">
      <c r="A7" s="25" t="str">
        <f ca="1">IFERROR(__xludf.DUMMYFUNCTION("""COMPUTED_VALUE"""),"iPhone 11 64G")</f>
        <v>iPhone 11 64G</v>
      </c>
      <c r="B7" s="24" t="str">
        <f ca="1">IFERROR(__xludf.DUMMYFUNCTION("""COMPUTED_VALUE"""),"C")</f>
        <v>C</v>
      </c>
      <c r="C7" s="24" t="str">
        <f ca="1">IFERROR(__xludf.DUMMYFUNCTION("""COMPUTED_VALUE"""),"Intl")</f>
        <v>Intl</v>
      </c>
      <c r="D7" s="24">
        <f ca="1">IFERROR(__xludf.DUMMYFUNCTION("""COMPUTED_VALUE"""),159.5)</f>
        <v>159.5</v>
      </c>
      <c r="F7" s="38"/>
      <c r="G7" s="38"/>
      <c r="H7" s="38"/>
      <c r="I7" s="38"/>
      <c r="J7" s="38"/>
      <c r="K7" s="38"/>
    </row>
    <row r="8" spans="1:11" ht="15.75" customHeight="1">
      <c r="A8" s="25" t="str">
        <f ca="1">IFERROR(__xludf.DUMMYFUNCTION("""COMPUTED_VALUE"""),"iPhone 11 Pro 256G")</f>
        <v>iPhone 11 Pro 256G</v>
      </c>
      <c r="B8" s="24" t="str">
        <f ca="1">IFERROR(__xludf.DUMMYFUNCTION("""COMPUTED_VALUE"""),"B")</f>
        <v>B</v>
      </c>
      <c r="C8" s="24" t="str">
        <f ca="1">IFERROR(__xludf.DUMMYFUNCTION("""COMPUTED_VALUE"""),"Intl")</f>
        <v>Intl</v>
      </c>
      <c r="D8" s="24">
        <f ca="1">IFERROR(__xludf.DUMMYFUNCTION("""COMPUTED_VALUE"""),221.5)</f>
        <v>221.5</v>
      </c>
      <c r="F8" s="38"/>
      <c r="G8" s="38"/>
      <c r="H8" s="38"/>
      <c r="I8" s="38"/>
      <c r="J8" s="38"/>
      <c r="K8" s="38"/>
    </row>
    <row r="9" spans="1:11" ht="15.75" customHeight="1">
      <c r="A9" s="25" t="str">
        <f ca="1">IFERROR(__xludf.DUMMYFUNCTION("""COMPUTED_VALUE"""),"iPhone 11 Pro 256G")</f>
        <v>iPhone 11 Pro 256G</v>
      </c>
      <c r="B9" s="24" t="str">
        <f ca="1">IFERROR(__xludf.DUMMYFUNCTION("""COMPUTED_VALUE"""),"C")</f>
        <v>C</v>
      </c>
      <c r="C9" s="24" t="str">
        <f ca="1">IFERROR(__xludf.DUMMYFUNCTION("""COMPUTED_VALUE"""),"Intl")</f>
        <v>Intl</v>
      </c>
      <c r="D9" s="24">
        <f ca="1">IFERROR(__xludf.DUMMYFUNCTION("""COMPUTED_VALUE"""),221.5)</f>
        <v>221.5</v>
      </c>
      <c r="F9" s="38"/>
      <c r="G9" s="38"/>
      <c r="H9" s="38"/>
      <c r="I9" s="38"/>
      <c r="J9" s="38"/>
      <c r="K9" s="38"/>
    </row>
    <row r="10" spans="1:11" ht="15.75" customHeight="1">
      <c r="A10" s="25" t="str">
        <f ca="1">IFERROR(__xludf.DUMMYFUNCTION("""COMPUTED_VALUE"""),"iPhone 11 Pro Max 256G")</f>
        <v>iPhone 11 Pro Max 256G</v>
      </c>
      <c r="B10" s="24" t="str">
        <f ca="1">IFERROR(__xludf.DUMMYFUNCTION("""COMPUTED_VALUE"""),"B")</f>
        <v>B</v>
      </c>
      <c r="C10" s="24" t="str">
        <f ca="1">IFERROR(__xludf.DUMMYFUNCTION("""COMPUTED_VALUE"""),"Intl")</f>
        <v>Intl</v>
      </c>
      <c r="D10" s="24">
        <f ca="1">IFERROR(__xludf.DUMMYFUNCTION("""COMPUTED_VALUE"""),260.52)</f>
        <v>260.52</v>
      </c>
      <c r="F10" s="38"/>
      <c r="G10" s="38"/>
      <c r="H10" s="38"/>
      <c r="I10" s="38"/>
      <c r="J10" s="38"/>
      <c r="K10" s="38"/>
    </row>
    <row r="11" spans="1:11" ht="15.75" customHeight="1">
      <c r="A11" s="25" t="str">
        <f ca="1">IFERROR(__xludf.DUMMYFUNCTION("""COMPUTED_VALUE"""),"iPhone 11 Pro Max 256G")</f>
        <v>iPhone 11 Pro Max 256G</v>
      </c>
      <c r="B11" s="24" t="str">
        <f ca="1">IFERROR(__xludf.DUMMYFUNCTION("""COMPUTED_VALUE"""),"C")</f>
        <v>C</v>
      </c>
      <c r="C11" s="24" t="str">
        <f ca="1">IFERROR(__xludf.DUMMYFUNCTION("""COMPUTED_VALUE"""),"Intl")</f>
        <v>Intl</v>
      </c>
      <c r="D11" s="24">
        <f ca="1">IFERROR(__xludf.DUMMYFUNCTION("""COMPUTED_VALUE"""),258.5)</f>
        <v>258.5</v>
      </c>
      <c r="F11" s="38"/>
      <c r="G11" s="38"/>
      <c r="H11" s="38"/>
      <c r="I11" s="38"/>
      <c r="J11" s="38"/>
      <c r="K11" s="38"/>
    </row>
    <row r="12" spans="1:11" ht="15.75" customHeight="1">
      <c r="A12" s="25" t="str">
        <f ca="1">IFERROR(__xludf.DUMMYFUNCTION("""COMPUTED_VALUE"""),"iPhone 12 128G")</f>
        <v>iPhone 12 128G</v>
      </c>
      <c r="B12" s="24" t="str">
        <f ca="1">IFERROR(__xludf.DUMMYFUNCTION("""COMPUTED_VALUE"""),"A")</f>
        <v>A</v>
      </c>
      <c r="C12" s="24" t="str">
        <f ca="1">IFERROR(__xludf.DUMMYFUNCTION("""COMPUTED_VALUE"""),"Intl")</f>
        <v>Intl</v>
      </c>
      <c r="D12" s="24">
        <f ca="1">IFERROR(__xludf.DUMMYFUNCTION("""COMPUTED_VALUE"""),212)</f>
        <v>212</v>
      </c>
      <c r="F12" s="38"/>
      <c r="G12" s="38"/>
      <c r="H12" s="38"/>
      <c r="I12" s="38"/>
      <c r="J12" s="38"/>
      <c r="K12" s="38"/>
    </row>
    <row r="13" spans="1:11" ht="15.75" customHeight="1">
      <c r="A13" s="25" t="str">
        <f ca="1">IFERROR(__xludf.DUMMYFUNCTION("""COMPUTED_VALUE"""),"iPhone 12 128G")</f>
        <v>iPhone 12 128G</v>
      </c>
      <c r="B13" s="24" t="str">
        <f ca="1">IFERROR(__xludf.DUMMYFUNCTION("""COMPUTED_VALUE"""),"A+")</f>
        <v>A+</v>
      </c>
      <c r="C13" s="24" t="str">
        <f ca="1">IFERROR(__xludf.DUMMYFUNCTION("""COMPUTED_VALUE"""),"Intl")</f>
        <v>Intl</v>
      </c>
      <c r="D13" s="24">
        <f ca="1">IFERROR(__xludf.DUMMYFUNCTION("""COMPUTED_VALUE"""),229.5)</f>
        <v>229.5</v>
      </c>
      <c r="F13" s="38"/>
      <c r="G13" s="38"/>
      <c r="H13" s="38"/>
      <c r="I13" s="38"/>
      <c r="J13" s="38"/>
      <c r="K13" s="38"/>
    </row>
    <row r="14" spans="1:11" ht="15.75" customHeight="1">
      <c r="A14" s="25" t="str">
        <f ca="1">IFERROR(__xludf.DUMMYFUNCTION("""COMPUTED_VALUE"""),"iPhone 12 128G")</f>
        <v>iPhone 12 128G</v>
      </c>
      <c r="B14" s="24" t="str">
        <f ca="1">IFERROR(__xludf.DUMMYFUNCTION("""COMPUTED_VALUE"""),"B")</f>
        <v>B</v>
      </c>
      <c r="C14" s="24" t="str">
        <f ca="1">IFERROR(__xludf.DUMMYFUNCTION("""COMPUTED_VALUE"""),"Intl")</f>
        <v>Intl</v>
      </c>
      <c r="D14" s="24">
        <f ca="1">IFERROR(__xludf.DUMMYFUNCTION("""COMPUTED_VALUE"""),203.25)</f>
        <v>203.25</v>
      </c>
      <c r="F14" s="38"/>
      <c r="G14" s="38"/>
      <c r="H14" s="38"/>
      <c r="I14" s="38"/>
      <c r="J14" s="38"/>
      <c r="K14" s="38"/>
    </row>
    <row r="15" spans="1:11" ht="15.75" customHeight="1">
      <c r="A15" s="25" t="str">
        <f ca="1">IFERROR(__xludf.DUMMYFUNCTION("""COMPUTED_VALUE"""),"iPhone 12 128G")</f>
        <v>iPhone 12 128G</v>
      </c>
      <c r="B15" s="24" t="str">
        <f ca="1">IFERROR(__xludf.DUMMYFUNCTION("""COMPUTED_VALUE"""),"C")</f>
        <v>C</v>
      </c>
      <c r="C15" s="24" t="str">
        <f ca="1">IFERROR(__xludf.DUMMYFUNCTION("""COMPUTED_VALUE"""),"Intl")</f>
        <v>Intl</v>
      </c>
      <c r="D15" s="24">
        <f ca="1">IFERROR(__xludf.DUMMYFUNCTION("""COMPUTED_VALUE"""),188.5)</f>
        <v>188.5</v>
      </c>
      <c r="F15" s="38"/>
      <c r="G15" s="38"/>
      <c r="H15" s="38"/>
      <c r="I15" s="38"/>
      <c r="J15" s="38"/>
      <c r="K15" s="38"/>
    </row>
    <row r="16" spans="1:11" ht="15.75" customHeight="1">
      <c r="A16" s="25" t="str">
        <f ca="1">IFERROR(__xludf.DUMMYFUNCTION("""COMPUTED_VALUE"""),"iPhone 12 256G")</f>
        <v>iPhone 12 256G</v>
      </c>
      <c r="B16" s="24" t="str">
        <f ca="1">IFERROR(__xludf.DUMMYFUNCTION("""COMPUTED_VALUE"""),"B")</f>
        <v>B</v>
      </c>
      <c r="C16" s="24" t="str">
        <f ca="1">IFERROR(__xludf.DUMMYFUNCTION("""COMPUTED_VALUE"""),"Intl")</f>
        <v>Intl</v>
      </c>
      <c r="D16" s="24">
        <f ca="1">IFERROR(__xludf.DUMMYFUNCTION("""COMPUTED_VALUE"""),220)</f>
        <v>220</v>
      </c>
      <c r="F16" s="38"/>
      <c r="G16" s="38"/>
      <c r="H16" s="38"/>
      <c r="I16" s="38"/>
      <c r="J16" s="38"/>
      <c r="K16" s="38"/>
    </row>
    <row r="17" spans="1:4" ht="15.75" customHeight="1">
      <c r="A17" s="25" t="str">
        <f ca="1">IFERROR(__xludf.DUMMYFUNCTION("""COMPUTED_VALUE"""),"iPhone 12 64G")</f>
        <v>iPhone 12 64G</v>
      </c>
      <c r="B17" s="24" t="str">
        <f ca="1">IFERROR(__xludf.DUMMYFUNCTION("""COMPUTED_VALUE"""),"A")</f>
        <v>A</v>
      </c>
      <c r="C17" s="24" t="str">
        <f ca="1">IFERROR(__xludf.DUMMYFUNCTION("""COMPUTED_VALUE"""),"Intl")</f>
        <v>Intl</v>
      </c>
      <c r="D17" s="24">
        <f ca="1">IFERROR(__xludf.DUMMYFUNCTION("""COMPUTED_VALUE"""),203.5)</f>
        <v>203.5</v>
      </c>
    </row>
    <row r="18" spans="1:4" ht="15.75" customHeight="1">
      <c r="A18" s="25" t="str">
        <f ca="1">IFERROR(__xludf.DUMMYFUNCTION("""COMPUTED_VALUE"""),"iPhone 12 64G")</f>
        <v>iPhone 12 64G</v>
      </c>
      <c r="B18" s="24" t="str">
        <f ca="1">IFERROR(__xludf.DUMMYFUNCTION("""COMPUTED_VALUE"""),"A+")</f>
        <v>A+</v>
      </c>
      <c r="C18" s="24" t="str">
        <f ca="1">IFERROR(__xludf.DUMMYFUNCTION("""COMPUTED_VALUE"""),"Intl")</f>
        <v>Intl</v>
      </c>
      <c r="D18" s="24">
        <f ca="1">IFERROR(__xludf.DUMMYFUNCTION("""COMPUTED_VALUE"""),208)</f>
        <v>208</v>
      </c>
    </row>
    <row r="19" spans="1:4" ht="15.75" customHeight="1">
      <c r="A19" s="25" t="str">
        <f ca="1">IFERROR(__xludf.DUMMYFUNCTION("""COMPUTED_VALUE"""),"iPhone 12 64G")</f>
        <v>iPhone 12 64G</v>
      </c>
      <c r="B19" s="24" t="str">
        <f ca="1">IFERROR(__xludf.DUMMYFUNCTION("""COMPUTED_VALUE"""),"B")</f>
        <v>B</v>
      </c>
      <c r="C19" s="24" t="str">
        <f ca="1">IFERROR(__xludf.DUMMYFUNCTION("""COMPUTED_VALUE"""),"Intl")</f>
        <v>Intl</v>
      </c>
      <c r="D19" s="24">
        <f ca="1">IFERROR(__xludf.DUMMYFUNCTION("""COMPUTED_VALUE"""),180)</f>
        <v>180</v>
      </c>
    </row>
    <row r="20" spans="1:4" ht="15.75" customHeight="1">
      <c r="A20" s="25" t="str">
        <f ca="1">IFERROR(__xludf.DUMMYFUNCTION("""COMPUTED_VALUE"""),"iPhone 12 64G")</f>
        <v>iPhone 12 64G</v>
      </c>
      <c r="B20" s="24" t="str">
        <f ca="1">IFERROR(__xludf.DUMMYFUNCTION("""COMPUTED_VALUE"""),"C")</f>
        <v>C</v>
      </c>
      <c r="C20" s="24" t="str">
        <f ca="1">IFERROR(__xludf.DUMMYFUNCTION("""COMPUTED_VALUE"""),"Intl")</f>
        <v>Intl</v>
      </c>
      <c r="D20" s="24">
        <f ca="1">IFERROR(__xludf.DUMMYFUNCTION("""COMPUTED_VALUE"""),175.166666666666)</f>
        <v>175.166666666666</v>
      </c>
    </row>
    <row r="21" spans="1:4" ht="15.75" customHeight="1">
      <c r="A21" s="25" t="str">
        <f ca="1">IFERROR(__xludf.DUMMYFUNCTION("""COMPUTED_VALUE"""),"iPhone 12 mini 128G")</f>
        <v>iPhone 12 mini 128G</v>
      </c>
      <c r="B21" s="24" t="str">
        <f ca="1">IFERROR(__xludf.DUMMYFUNCTION("""COMPUTED_VALUE"""),"B")</f>
        <v>B</v>
      </c>
      <c r="C21" s="24" t="str">
        <f ca="1">IFERROR(__xludf.DUMMYFUNCTION("""COMPUTED_VALUE"""),"Intl")</f>
        <v>Intl</v>
      </c>
      <c r="D21" s="24">
        <f ca="1">IFERROR(__xludf.DUMMYFUNCTION("""COMPUTED_VALUE"""),164.5)</f>
        <v>164.5</v>
      </c>
    </row>
    <row r="22" spans="1:4" ht="15.75" customHeight="1">
      <c r="A22" s="25" t="str">
        <f ca="1">IFERROR(__xludf.DUMMYFUNCTION("""COMPUTED_VALUE"""),"iPhone 12 mini 128G")</f>
        <v>iPhone 12 mini 128G</v>
      </c>
      <c r="B22" s="24" t="str">
        <f ca="1">IFERROR(__xludf.DUMMYFUNCTION("""COMPUTED_VALUE"""),"C")</f>
        <v>C</v>
      </c>
      <c r="C22" s="24" t="str">
        <f ca="1">IFERROR(__xludf.DUMMYFUNCTION("""COMPUTED_VALUE"""),"Intl")</f>
        <v>Intl</v>
      </c>
      <c r="D22" s="24">
        <f ca="1">IFERROR(__xludf.DUMMYFUNCTION("""COMPUTED_VALUE"""),163.5)</f>
        <v>163.5</v>
      </c>
    </row>
    <row r="23" spans="1:4" ht="15.75" customHeight="1">
      <c r="A23" s="25" t="str">
        <f ca="1">IFERROR(__xludf.DUMMYFUNCTION("""COMPUTED_VALUE"""),"iPhone 12 mini 256G")</f>
        <v>iPhone 12 mini 256G</v>
      </c>
      <c r="B23" s="24" t="str">
        <f ca="1">IFERROR(__xludf.DUMMYFUNCTION("""COMPUTED_VALUE"""),"C")</f>
        <v>C</v>
      </c>
      <c r="C23" s="24" t="str">
        <f ca="1">IFERROR(__xludf.DUMMYFUNCTION("""COMPUTED_VALUE"""),"Intl")</f>
        <v>Intl</v>
      </c>
      <c r="D23" s="24">
        <f ca="1">IFERROR(__xludf.DUMMYFUNCTION("""COMPUTED_VALUE"""),174.5)</f>
        <v>174.5</v>
      </c>
    </row>
    <row r="24" spans="1:4" ht="15.75" customHeight="1">
      <c r="A24" s="25" t="str">
        <f ca="1">IFERROR(__xludf.DUMMYFUNCTION("""COMPUTED_VALUE"""),"iPhone 12 mini 64G")</f>
        <v>iPhone 12 mini 64G</v>
      </c>
      <c r="B24" s="24" t="str">
        <f ca="1">IFERROR(__xludf.DUMMYFUNCTION("""COMPUTED_VALUE"""),"C")</f>
        <v>C</v>
      </c>
      <c r="C24" s="24" t="str">
        <f ca="1">IFERROR(__xludf.DUMMYFUNCTION("""COMPUTED_VALUE"""),"Intl")</f>
        <v>Intl</v>
      </c>
      <c r="D24" s="24">
        <f ca="1">IFERROR(__xludf.DUMMYFUNCTION("""COMPUTED_VALUE"""),133.5)</f>
        <v>133.5</v>
      </c>
    </row>
    <row r="25" spans="1:4" ht="15.75" customHeight="1">
      <c r="A25" s="25" t="str">
        <f ca="1">IFERROR(__xludf.DUMMYFUNCTION("""COMPUTED_VALUE"""),"iPhone 12 Pro 128G")</f>
        <v>iPhone 12 Pro 128G</v>
      </c>
      <c r="B25" s="24" t="str">
        <f ca="1">IFERROR(__xludf.DUMMYFUNCTION("""COMPUTED_VALUE"""),"B")</f>
        <v>B</v>
      </c>
      <c r="C25" s="24" t="str">
        <f ca="1">IFERROR(__xludf.DUMMYFUNCTION("""COMPUTED_VALUE"""),"Intl")</f>
        <v>Intl</v>
      </c>
      <c r="D25" s="24">
        <f ca="1">IFERROR(__xludf.DUMMYFUNCTION("""COMPUTED_VALUE"""),253.5)</f>
        <v>253.5</v>
      </c>
    </row>
    <row r="26" spans="1:4" ht="15.75" customHeight="1">
      <c r="A26" s="25" t="str">
        <f ca="1">IFERROR(__xludf.DUMMYFUNCTION("""COMPUTED_VALUE"""),"iPhone 12 Pro 128G")</f>
        <v>iPhone 12 Pro 128G</v>
      </c>
      <c r="B26" s="24" t="str">
        <f ca="1">IFERROR(__xludf.DUMMYFUNCTION("""COMPUTED_VALUE"""),"C")</f>
        <v>C</v>
      </c>
      <c r="C26" s="24" t="str">
        <f ca="1">IFERROR(__xludf.DUMMYFUNCTION("""COMPUTED_VALUE"""),"Intl")</f>
        <v>Intl</v>
      </c>
      <c r="D26" s="24">
        <f ca="1">IFERROR(__xludf.DUMMYFUNCTION("""COMPUTED_VALUE"""),243)</f>
        <v>243</v>
      </c>
    </row>
    <row r="27" spans="1:4" ht="15.75" customHeight="1">
      <c r="A27" s="25" t="str">
        <f ca="1">IFERROR(__xludf.DUMMYFUNCTION("""COMPUTED_VALUE"""),"iPhone 12 Pro 256G")</f>
        <v>iPhone 12 Pro 256G</v>
      </c>
      <c r="B27" s="24" t="str">
        <f ca="1">IFERROR(__xludf.DUMMYFUNCTION("""COMPUTED_VALUE"""),"B")</f>
        <v>B</v>
      </c>
      <c r="C27" s="24" t="str">
        <f ca="1">IFERROR(__xludf.DUMMYFUNCTION("""COMPUTED_VALUE"""),"Intl")</f>
        <v>Intl</v>
      </c>
      <c r="D27" s="24">
        <f ca="1">IFERROR(__xludf.DUMMYFUNCTION("""COMPUTED_VALUE"""),271.18)</f>
        <v>271.18</v>
      </c>
    </row>
    <row r="28" spans="1:4" ht="15.75" customHeight="1">
      <c r="A28" s="25" t="str">
        <f ca="1">IFERROR(__xludf.DUMMYFUNCTION("""COMPUTED_VALUE"""),"iPhone 12 Pro 512G")</f>
        <v>iPhone 12 Pro 512G</v>
      </c>
      <c r="B28" s="24" t="str">
        <f ca="1">IFERROR(__xludf.DUMMYFUNCTION("""COMPUTED_VALUE"""),"B")</f>
        <v>B</v>
      </c>
      <c r="C28" s="24" t="str">
        <f ca="1">IFERROR(__xludf.DUMMYFUNCTION("""COMPUTED_VALUE"""),"Intl")</f>
        <v>Intl</v>
      </c>
      <c r="D28" s="24">
        <f ca="1">IFERROR(__xludf.DUMMYFUNCTION("""COMPUTED_VALUE"""),304.85)</f>
        <v>304.85000000000002</v>
      </c>
    </row>
    <row r="29" spans="1:4" ht="15.75" customHeight="1">
      <c r="A29" s="25" t="str">
        <f ca="1">IFERROR(__xludf.DUMMYFUNCTION("""COMPUTED_VALUE"""),"iPhone 12 Pro 512G")</f>
        <v>iPhone 12 Pro 512G</v>
      </c>
      <c r="B29" s="24" t="str">
        <f ca="1">IFERROR(__xludf.DUMMYFUNCTION("""COMPUTED_VALUE"""),"C")</f>
        <v>C</v>
      </c>
      <c r="C29" s="24" t="str">
        <f ca="1">IFERROR(__xludf.DUMMYFUNCTION("""COMPUTED_VALUE"""),"Intl")</f>
        <v>Intl</v>
      </c>
      <c r="D29" s="24">
        <f ca="1">IFERROR(__xludf.DUMMYFUNCTION("""COMPUTED_VALUE"""),287.04)</f>
        <v>287.04000000000002</v>
      </c>
    </row>
    <row r="30" spans="1:4" ht="15.75" customHeight="1">
      <c r="A30" s="25" t="str">
        <f ca="1">IFERROR(__xludf.DUMMYFUNCTION("""COMPUTED_VALUE"""),"iPhone 12 Pro Max 128G")</f>
        <v>iPhone 12 Pro Max 128G</v>
      </c>
      <c r="B30" s="24" t="str">
        <f ca="1">IFERROR(__xludf.DUMMYFUNCTION("""COMPUTED_VALUE"""),"B")</f>
        <v>B</v>
      </c>
      <c r="C30" s="24" t="str">
        <f ca="1">IFERROR(__xludf.DUMMYFUNCTION("""COMPUTED_VALUE"""),"Intl")</f>
        <v>Intl</v>
      </c>
      <c r="D30" s="24">
        <f ca="1">IFERROR(__xludf.DUMMYFUNCTION("""COMPUTED_VALUE"""),349.7)</f>
        <v>349.7</v>
      </c>
    </row>
    <row r="31" spans="1:4" ht="15.75" customHeight="1">
      <c r="A31" s="25" t="str">
        <f ca="1">IFERROR(__xludf.DUMMYFUNCTION("""COMPUTED_VALUE"""),"iPhone 12 Pro Max 128G")</f>
        <v>iPhone 12 Pro Max 128G</v>
      </c>
      <c r="B31" s="24" t="str">
        <f ca="1">IFERROR(__xludf.DUMMYFUNCTION("""COMPUTED_VALUE"""),"C")</f>
        <v>C</v>
      </c>
      <c r="C31" s="24" t="str">
        <f ca="1">IFERROR(__xludf.DUMMYFUNCTION("""COMPUTED_VALUE"""),"Intl")</f>
        <v>Intl</v>
      </c>
      <c r="D31" s="24">
        <f ca="1">IFERROR(__xludf.DUMMYFUNCTION("""COMPUTED_VALUE"""),313.04)</f>
        <v>313.04000000000002</v>
      </c>
    </row>
    <row r="32" spans="1:4" ht="15.75" customHeight="1">
      <c r="A32" s="25" t="str">
        <f ca="1">IFERROR(__xludf.DUMMYFUNCTION("""COMPUTED_VALUE"""),"iPhone 12 Pro Max 256G")</f>
        <v>iPhone 12 Pro Max 256G</v>
      </c>
      <c r="B32" s="24" t="str">
        <f ca="1">IFERROR(__xludf.DUMMYFUNCTION("""COMPUTED_VALUE"""),"A+")</f>
        <v>A+</v>
      </c>
      <c r="C32" s="24" t="str">
        <f ca="1">IFERROR(__xludf.DUMMYFUNCTION("""COMPUTED_VALUE"""),"Intl")</f>
        <v>Intl</v>
      </c>
      <c r="D32" s="24">
        <f ca="1">IFERROR(__xludf.DUMMYFUNCTION("""COMPUTED_VALUE"""),546)</f>
        <v>546</v>
      </c>
    </row>
    <row r="33" spans="1:4" ht="15.75" customHeight="1">
      <c r="A33" s="25" t="str">
        <f ca="1">IFERROR(__xludf.DUMMYFUNCTION("""COMPUTED_VALUE"""),"iPhone 12 Pro Max 256G")</f>
        <v>iPhone 12 Pro Max 256G</v>
      </c>
      <c r="B33" s="24" t="str">
        <f ca="1">IFERROR(__xludf.DUMMYFUNCTION("""COMPUTED_VALUE"""),"B")</f>
        <v>B</v>
      </c>
      <c r="C33" s="24" t="str">
        <f ca="1">IFERROR(__xludf.DUMMYFUNCTION("""COMPUTED_VALUE"""),"Intl")</f>
        <v>Intl</v>
      </c>
      <c r="D33" s="24">
        <f ca="1">IFERROR(__xludf.DUMMYFUNCTION("""COMPUTED_VALUE"""),371.8)</f>
        <v>371.8</v>
      </c>
    </row>
    <row r="34" spans="1:4" ht="15.75" customHeight="1">
      <c r="A34" s="25" t="str">
        <f ca="1">IFERROR(__xludf.DUMMYFUNCTION("""COMPUTED_VALUE"""),"iPhone 12 Pro Max 256G")</f>
        <v>iPhone 12 Pro Max 256G</v>
      </c>
      <c r="B34" s="24" t="str">
        <f ca="1">IFERROR(__xludf.DUMMYFUNCTION("""COMPUTED_VALUE"""),"C")</f>
        <v>C</v>
      </c>
      <c r="C34" s="24" t="str">
        <f ca="1">IFERROR(__xludf.DUMMYFUNCTION("""COMPUTED_VALUE"""),"Intl")</f>
        <v>Intl</v>
      </c>
      <c r="D34" s="24">
        <f ca="1">IFERROR(__xludf.DUMMYFUNCTION("""COMPUTED_VALUE"""),344.586666666666)</f>
        <v>344.58666666666602</v>
      </c>
    </row>
    <row r="35" spans="1:4" ht="15.75" customHeight="1">
      <c r="A35" s="25" t="str">
        <f ca="1">IFERROR(__xludf.DUMMYFUNCTION("""COMPUTED_VALUE"""),"iPhone 13 128G")</f>
        <v>iPhone 13 128G</v>
      </c>
      <c r="B35" s="24" t="str">
        <f ca="1">IFERROR(__xludf.DUMMYFUNCTION("""COMPUTED_VALUE"""),"A")</f>
        <v>A</v>
      </c>
      <c r="C35" s="24" t="str">
        <f ca="1">IFERROR(__xludf.DUMMYFUNCTION("""COMPUTED_VALUE"""),"Intl")</f>
        <v>Intl</v>
      </c>
      <c r="D35" s="24">
        <f ca="1">IFERROR(__xludf.DUMMYFUNCTION("""COMPUTED_VALUE"""),289.64)</f>
        <v>289.64</v>
      </c>
    </row>
    <row r="36" spans="1:4" ht="15.75" customHeight="1">
      <c r="A36" s="25" t="str">
        <f ca="1">IFERROR(__xludf.DUMMYFUNCTION("""COMPUTED_VALUE"""),"iPhone 13 128G")</f>
        <v>iPhone 13 128G</v>
      </c>
      <c r="B36" s="24" t="str">
        <f ca="1">IFERROR(__xludf.DUMMYFUNCTION("""COMPUTED_VALUE"""),"A+")</f>
        <v>A+</v>
      </c>
      <c r="C36" s="24" t="str">
        <f ca="1">IFERROR(__xludf.DUMMYFUNCTION("""COMPUTED_VALUE"""),"Intl")</f>
        <v>Intl</v>
      </c>
      <c r="D36" s="24">
        <f ca="1">IFERROR(__xludf.DUMMYFUNCTION("""COMPUTED_VALUE"""),298.48)</f>
        <v>298.48</v>
      </c>
    </row>
    <row r="37" spans="1:4" ht="15.75" customHeight="1">
      <c r="A37" s="25" t="str">
        <f ca="1">IFERROR(__xludf.DUMMYFUNCTION("""COMPUTED_VALUE"""),"iPhone 13 128G")</f>
        <v>iPhone 13 128G</v>
      </c>
      <c r="B37" s="24" t="str">
        <f ca="1">IFERROR(__xludf.DUMMYFUNCTION("""COMPUTED_VALUE"""),"B")</f>
        <v>B</v>
      </c>
      <c r="C37" s="24" t="str">
        <f ca="1">IFERROR(__xludf.DUMMYFUNCTION("""COMPUTED_VALUE"""),"Intl")</f>
        <v>Intl</v>
      </c>
      <c r="D37" s="24">
        <f ca="1">IFERROR(__xludf.DUMMYFUNCTION("""COMPUTED_VALUE"""),275.34)</f>
        <v>275.33999999999997</v>
      </c>
    </row>
    <row r="38" spans="1:4" ht="15.75" customHeight="1">
      <c r="A38" s="25" t="str">
        <f ca="1">IFERROR(__xludf.DUMMYFUNCTION("""COMPUTED_VALUE"""),"iPhone 13 128G")</f>
        <v>iPhone 13 128G</v>
      </c>
      <c r="B38" s="24" t="str">
        <f ca="1">IFERROR(__xludf.DUMMYFUNCTION("""COMPUTED_VALUE"""),"C")</f>
        <v>C</v>
      </c>
      <c r="C38" s="24" t="str">
        <f ca="1">IFERROR(__xludf.DUMMYFUNCTION("""COMPUTED_VALUE"""),"Intl")</f>
        <v>Intl</v>
      </c>
      <c r="D38" s="24">
        <f ca="1">IFERROR(__xludf.DUMMYFUNCTION("""COMPUTED_VALUE"""),260.52)</f>
        <v>260.52</v>
      </c>
    </row>
    <row r="39" spans="1:4" ht="15.75" customHeight="1">
      <c r="A39" s="25" t="str">
        <f ca="1">IFERROR(__xludf.DUMMYFUNCTION("""COMPUTED_VALUE"""),"iPhone 13 256G")</f>
        <v>iPhone 13 256G</v>
      </c>
      <c r="B39" s="24" t="str">
        <f ca="1">IFERROR(__xludf.DUMMYFUNCTION("""COMPUTED_VALUE"""),"B")</f>
        <v>B</v>
      </c>
      <c r="C39" s="24" t="str">
        <f ca="1">IFERROR(__xludf.DUMMYFUNCTION("""COMPUTED_VALUE"""),"Intl")</f>
        <v>Intl</v>
      </c>
      <c r="D39" s="24">
        <f ca="1">IFERROR(__xludf.DUMMYFUNCTION("""COMPUTED_VALUE"""),302.64)</f>
        <v>302.64</v>
      </c>
    </row>
    <row r="40" spans="1:4" ht="15.75" customHeight="1">
      <c r="A40" s="25" t="str">
        <f ca="1">IFERROR(__xludf.DUMMYFUNCTION("""COMPUTED_VALUE"""),"iPhone 13 256G")</f>
        <v>iPhone 13 256G</v>
      </c>
      <c r="B40" s="24" t="str">
        <f ca="1">IFERROR(__xludf.DUMMYFUNCTION("""COMPUTED_VALUE"""),"C")</f>
        <v>C</v>
      </c>
      <c r="C40" s="24" t="str">
        <f ca="1">IFERROR(__xludf.DUMMYFUNCTION("""COMPUTED_VALUE"""),"Intl")</f>
        <v>Intl</v>
      </c>
      <c r="D40" s="24">
        <f ca="1">IFERROR(__xludf.DUMMYFUNCTION("""COMPUTED_VALUE"""),294.06)</f>
        <v>294.06</v>
      </c>
    </row>
    <row r="41" spans="1:4" ht="15.75" customHeight="1">
      <c r="A41" s="25" t="str">
        <f ca="1">IFERROR(__xludf.DUMMYFUNCTION("""COMPUTED_VALUE"""),"iPhone 13 mini 128G")</f>
        <v>iPhone 13 mini 128G</v>
      </c>
      <c r="B41" s="24" t="str">
        <f ca="1">IFERROR(__xludf.DUMMYFUNCTION("""COMPUTED_VALUE"""),"A")</f>
        <v>A</v>
      </c>
      <c r="C41" s="24" t="str">
        <f ca="1">IFERROR(__xludf.DUMMYFUNCTION("""COMPUTED_VALUE"""),"Intl")</f>
        <v>Intl</v>
      </c>
      <c r="D41" s="24">
        <f ca="1">IFERROR(__xludf.DUMMYFUNCTION("""COMPUTED_VALUE"""),247.5)</f>
        <v>247.5</v>
      </c>
    </row>
    <row r="42" spans="1:4" ht="15.75" customHeight="1">
      <c r="A42" s="25" t="str">
        <f ca="1">IFERROR(__xludf.DUMMYFUNCTION("""COMPUTED_VALUE"""),"iPhone 13 mini 128G")</f>
        <v>iPhone 13 mini 128G</v>
      </c>
      <c r="B42" s="24" t="str">
        <f ca="1">IFERROR(__xludf.DUMMYFUNCTION("""COMPUTED_VALUE"""),"A+")</f>
        <v>A+</v>
      </c>
      <c r="C42" s="24" t="str">
        <f ca="1">IFERROR(__xludf.DUMMYFUNCTION("""COMPUTED_VALUE"""),"Intl")</f>
        <v>Intl</v>
      </c>
      <c r="D42" s="24">
        <f ca="1">IFERROR(__xludf.DUMMYFUNCTION("""COMPUTED_VALUE"""),253.5)</f>
        <v>253.5</v>
      </c>
    </row>
    <row r="43" spans="1:4" ht="15.75" customHeight="1">
      <c r="A43" s="25" t="str">
        <f ca="1">IFERROR(__xludf.DUMMYFUNCTION("""COMPUTED_VALUE"""),"iPhone 13 mini 128G")</f>
        <v>iPhone 13 mini 128G</v>
      </c>
      <c r="B43" s="24" t="str">
        <f ca="1">IFERROR(__xludf.DUMMYFUNCTION("""COMPUTED_VALUE"""),"B")</f>
        <v>B</v>
      </c>
      <c r="C43" s="24" t="str">
        <f ca="1">IFERROR(__xludf.DUMMYFUNCTION("""COMPUTED_VALUE"""),"Intl")</f>
        <v>Intl</v>
      </c>
      <c r="D43" s="24">
        <f ca="1">IFERROR(__xludf.DUMMYFUNCTION("""COMPUTED_VALUE"""),233.5)</f>
        <v>233.5</v>
      </c>
    </row>
    <row r="44" spans="1:4" ht="15.75" customHeight="1">
      <c r="A44" s="25" t="str">
        <f ca="1">IFERROR(__xludf.DUMMYFUNCTION("""COMPUTED_VALUE"""),"iPhone 13 mini 256G")</f>
        <v>iPhone 13 mini 256G</v>
      </c>
      <c r="B44" s="24" t="str">
        <f ca="1">IFERROR(__xludf.DUMMYFUNCTION("""COMPUTED_VALUE"""),"A")</f>
        <v>A</v>
      </c>
      <c r="C44" s="24" t="str">
        <f ca="1">IFERROR(__xludf.DUMMYFUNCTION("""COMPUTED_VALUE"""),"Intl")</f>
        <v>Intl</v>
      </c>
      <c r="D44" s="24">
        <f ca="1">IFERROR(__xludf.DUMMYFUNCTION("""COMPUTED_VALUE"""),287.56)</f>
        <v>287.56</v>
      </c>
    </row>
    <row r="45" spans="1:4" ht="15.75" customHeight="1">
      <c r="A45" s="25" t="str">
        <f ca="1">IFERROR(__xludf.DUMMYFUNCTION("""COMPUTED_VALUE"""),"iPhone 13 mini 256G")</f>
        <v>iPhone 13 mini 256G</v>
      </c>
      <c r="B45" s="24" t="str">
        <f ca="1">IFERROR(__xludf.DUMMYFUNCTION("""COMPUTED_VALUE"""),"B")</f>
        <v>B</v>
      </c>
      <c r="C45" s="24" t="str">
        <f ca="1">IFERROR(__xludf.DUMMYFUNCTION("""COMPUTED_VALUE"""),"Intl")</f>
        <v>Intl</v>
      </c>
      <c r="D45" s="24">
        <f ca="1">IFERROR(__xludf.DUMMYFUNCTION("""COMPUTED_VALUE"""),270.14)</f>
        <v>270.14</v>
      </c>
    </row>
    <row r="46" spans="1:4" ht="15.75" customHeight="1">
      <c r="A46" s="25" t="str">
        <f ca="1">IFERROR(__xludf.DUMMYFUNCTION("""COMPUTED_VALUE"""),"iPhone 13 mini 256G")</f>
        <v>iPhone 13 mini 256G</v>
      </c>
      <c r="B46" s="24" t="str">
        <f ca="1">IFERROR(__xludf.DUMMYFUNCTION("""COMPUTED_VALUE"""),"C")</f>
        <v>C</v>
      </c>
      <c r="C46" s="24" t="str">
        <f ca="1">IFERROR(__xludf.DUMMYFUNCTION("""COMPUTED_VALUE"""),"Intl")</f>
        <v>Intl</v>
      </c>
      <c r="D46" s="24">
        <f ca="1">IFERROR(__xludf.DUMMYFUNCTION("""COMPUTED_VALUE"""),219.5)</f>
        <v>219.5</v>
      </c>
    </row>
    <row r="47" spans="1:4" ht="15.75" customHeight="1">
      <c r="A47" s="25" t="str">
        <f ca="1">IFERROR(__xludf.DUMMYFUNCTION("""COMPUTED_VALUE"""),"iPhone 13 Pro 128G")</f>
        <v>iPhone 13 Pro 128G</v>
      </c>
      <c r="B47" s="24" t="str">
        <f ca="1">IFERROR(__xludf.DUMMYFUNCTION("""COMPUTED_VALUE"""),"A")</f>
        <v>A</v>
      </c>
      <c r="C47" s="24" t="str">
        <f ca="1">IFERROR(__xludf.DUMMYFUNCTION("""COMPUTED_VALUE"""),"Intl")</f>
        <v>Intl</v>
      </c>
      <c r="D47" s="24">
        <f ca="1">IFERROR(__xludf.DUMMYFUNCTION("""COMPUTED_VALUE"""),389.48)</f>
        <v>389.48</v>
      </c>
    </row>
    <row r="48" spans="1:4" ht="15.75" customHeight="1">
      <c r="A48" s="25" t="str">
        <f ca="1">IFERROR(__xludf.DUMMYFUNCTION("""COMPUTED_VALUE"""),"iPhone 13 Pro 128G")</f>
        <v>iPhone 13 Pro 128G</v>
      </c>
      <c r="B48" s="24" t="str">
        <f ca="1">IFERROR(__xludf.DUMMYFUNCTION("""COMPUTED_VALUE"""),"B")</f>
        <v>B</v>
      </c>
      <c r="C48" s="24" t="str">
        <f ca="1">IFERROR(__xludf.DUMMYFUNCTION("""COMPUTED_VALUE"""),"Intl")</f>
        <v>Intl</v>
      </c>
      <c r="D48" s="24">
        <f ca="1">IFERROR(__xludf.DUMMYFUNCTION("""COMPUTED_VALUE"""),385.06)</f>
        <v>385.06</v>
      </c>
    </row>
    <row r="49" spans="1:4" ht="15.75" customHeight="1">
      <c r="A49" s="25" t="str">
        <f ca="1">IFERROR(__xludf.DUMMYFUNCTION("""COMPUTED_VALUE"""),"iPhone 13 Pro 128G")</f>
        <v>iPhone 13 Pro 128G</v>
      </c>
      <c r="B49" s="24" t="str">
        <f ca="1">IFERROR(__xludf.DUMMYFUNCTION("""COMPUTED_VALUE"""),"C")</f>
        <v>C</v>
      </c>
      <c r="C49" s="24" t="str">
        <f ca="1">IFERROR(__xludf.DUMMYFUNCTION("""COMPUTED_VALUE"""),"Intl")</f>
        <v>Intl</v>
      </c>
      <c r="D49" s="24">
        <f ca="1">IFERROR(__xludf.DUMMYFUNCTION("""COMPUTED_VALUE"""),370.76)</f>
        <v>370.76</v>
      </c>
    </row>
    <row r="50" spans="1:4" ht="16">
      <c r="A50" s="25" t="str">
        <f ca="1">IFERROR(__xludf.DUMMYFUNCTION("""COMPUTED_VALUE"""),"iPhone 13 Pro 1T")</f>
        <v>iPhone 13 Pro 1T</v>
      </c>
      <c r="B50" s="24" t="str">
        <f ca="1">IFERROR(__xludf.DUMMYFUNCTION("""COMPUTED_VALUE"""),"B")</f>
        <v>B</v>
      </c>
      <c r="C50" s="24" t="str">
        <f ca="1">IFERROR(__xludf.DUMMYFUNCTION("""COMPUTED_VALUE"""),"Intl")</f>
        <v>Intl</v>
      </c>
      <c r="D50" s="24">
        <f ca="1">IFERROR(__xludf.DUMMYFUNCTION("""COMPUTED_VALUE"""),427.18)</f>
        <v>427.18</v>
      </c>
    </row>
    <row r="51" spans="1:4" ht="16">
      <c r="A51" s="25" t="str">
        <f ca="1">IFERROR(__xludf.DUMMYFUNCTION("""COMPUTED_VALUE"""),"iPhone 13 Pro 1T")</f>
        <v>iPhone 13 Pro 1T</v>
      </c>
      <c r="B51" s="24" t="str">
        <f ca="1">IFERROR(__xludf.DUMMYFUNCTION("""COMPUTED_VALUE"""),"C")</f>
        <v>C</v>
      </c>
      <c r="C51" s="24" t="str">
        <f ca="1">IFERROR(__xludf.DUMMYFUNCTION("""COMPUTED_VALUE"""),"Intl")</f>
        <v>Intl</v>
      </c>
      <c r="D51" s="24">
        <f ca="1">IFERROR(__xludf.DUMMYFUNCTION("""COMPUTED_VALUE"""),396.76)</f>
        <v>396.76</v>
      </c>
    </row>
    <row r="52" spans="1:4" ht="16">
      <c r="A52" s="25" t="str">
        <f ca="1">IFERROR(__xludf.DUMMYFUNCTION("""COMPUTED_VALUE"""),"iPhone 13 Pro 256G")</f>
        <v>iPhone 13 Pro 256G</v>
      </c>
      <c r="B52" s="24" t="str">
        <f ca="1">IFERROR(__xludf.DUMMYFUNCTION("""COMPUTED_VALUE"""),"A")</f>
        <v>A</v>
      </c>
      <c r="C52" s="24" t="str">
        <f ca="1">IFERROR(__xludf.DUMMYFUNCTION("""COMPUTED_VALUE"""),"Intl")</f>
        <v>Intl</v>
      </c>
      <c r="D52" s="24">
        <f ca="1">IFERROR(__xludf.DUMMYFUNCTION("""COMPUTED_VALUE"""),406.64)</f>
        <v>406.64</v>
      </c>
    </row>
    <row r="53" spans="1:4" ht="16">
      <c r="A53" s="25" t="str">
        <f ca="1">IFERROR(__xludf.DUMMYFUNCTION("""COMPUTED_VALUE"""),"iPhone 13 Pro 256G")</f>
        <v>iPhone 13 Pro 256G</v>
      </c>
      <c r="B53" s="24" t="str">
        <f ca="1">IFERROR(__xludf.DUMMYFUNCTION("""COMPUTED_VALUE"""),"B")</f>
        <v>B</v>
      </c>
      <c r="C53" s="24" t="str">
        <f ca="1">IFERROR(__xludf.DUMMYFUNCTION("""COMPUTED_VALUE"""),"Intl")</f>
        <v>Intl</v>
      </c>
      <c r="D53" s="24">
        <f ca="1">IFERROR(__xludf.DUMMYFUNCTION("""COMPUTED_VALUE"""),394.16)</f>
        <v>394.16</v>
      </c>
    </row>
    <row r="54" spans="1:4" ht="16">
      <c r="A54" s="25" t="str">
        <f ca="1">IFERROR(__xludf.DUMMYFUNCTION("""COMPUTED_VALUE"""),"iPhone 13 Pro 256G")</f>
        <v>iPhone 13 Pro 256G</v>
      </c>
      <c r="B54" s="24" t="str">
        <f ca="1">IFERROR(__xludf.DUMMYFUNCTION("""COMPUTED_VALUE"""),"C")</f>
        <v>C</v>
      </c>
      <c r="C54" s="24" t="str">
        <f ca="1">IFERROR(__xludf.DUMMYFUNCTION("""COMPUTED_VALUE"""),"Intl")</f>
        <v>Intl</v>
      </c>
      <c r="D54" s="24">
        <f ca="1">IFERROR(__xludf.DUMMYFUNCTION("""COMPUTED_VALUE"""),381.16)</f>
        <v>381.16</v>
      </c>
    </row>
    <row r="55" spans="1:4" ht="16">
      <c r="A55" s="25" t="str">
        <f ca="1">IFERROR(__xludf.DUMMYFUNCTION("""COMPUTED_VALUE"""),"iPhone 13 Pro 512G")</f>
        <v>iPhone 13 Pro 512G</v>
      </c>
      <c r="B55" s="24" t="str">
        <f ca="1">IFERROR(__xludf.DUMMYFUNCTION("""COMPUTED_VALUE"""),"B")</f>
        <v>B</v>
      </c>
      <c r="C55" s="24" t="str">
        <f ca="1">IFERROR(__xludf.DUMMYFUNCTION("""COMPUTED_VALUE"""),"Intl")</f>
        <v>Intl</v>
      </c>
      <c r="D55" s="24">
        <f ca="1">IFERROR(__xludf.DUMMYFUNCTION("""COMPUTED_VALUE"""),403)</f>
        <v>403</v>
      </c>
    </row>
    <row r="56" spans="1:4" ht="16">
      <c r="A56" s="25" t="str">
        <f ca="1">IFERROR(__xludf.DUMMYFUNCTION("""COMPUTED_VALUE"""),"iPhone 13 Pro Max 128G")</f>
        <v>iPhone 13 Pro Max 128G</v>
      </c>
      <c r="B56" s="24" t="str">
        <f ca="1">IFERROR(__xludf.DUMMYFUNCTION("""COMPUTED_VALUE"""),"A+")</f>
        <v>A+</v>
      </c>
      <c r="C56" s="24" t="str">
        <f ca="1">IFERROR(__xludf.DUMMYFUNCTION("""COMPUTED_VALUE"""),"Intl")</f>
        <v>Intl</v>
      </c>
      <c r="D56" s="24">
        <f ca="1">IFERROR(__xludf.DUMMYFUNCTION("""COMPUTED_VALUE"""),483.6)</f>
        <v>483.6</v>
      </c>
    </row>
    <row r="57" spans="1:4" ht="16">
      <c r="A57" s="25" t="str">
        <f ca="1">IFERROR(__xludf.DUMMYFUNCTION("""COMPUTED_VALUE"""),"iPhone 13 Pro Max 128G")</f>
        <v>iPhone 13 Pro Max 128G</v>
      </c>
      <c r="B57" s="24" t="str">
        <f ca="1">IFERROR(__xludf.DUMMYFUNCTION("""COMPUTED_VALUE"""),"B")</f>
        <v>B</v>
      </c>
      <c r="C57" s="24" t="str">
        <f ca="1">IFERROR(__xludf.DUMMYFUNCTION("""COMPUTED_VALUE"""),"Intl")</f>
        <v>Intl</v>
      </c>
      <c r="D57" s="24">
        <f ca="1">IFERROR(__xludf.DUMMYFUNCTION("""COMPUTED_VALUE"""),452.4)</f>
        <v>452.4</v>
      </c>
    </row>
    <row r="58" spans="1:4" ht="16">
      <c r="A58" s="25" t="str">
        <f ca="1">IFERROR(__xludf.DUMMYFUNCTION("""COMPUTED_VALUE"""),"iPhone 13 Pro Max 128G")</f>
        <v>iPhone 13 Pro Max 128G</v>
      </c>
      <c r="B58" s="24" t="str">
        <f ca="1">IFERROR(__xludf.DUMMYFUNCTION("""COMPUTED_VALUE"""),"C")</f>
        <v>C</v>
      </c>
      <c r="C58" s="24" t="str">
        <f ca="1">IFERROR(__xludf.DUMMYFUNCTION("""COMPUTED_VALUE"""),"Intl")</f>
        <v>Intl</v>
      </c>
      <c r="D58" s="24">
        <f ca="1">IFERROR(__xludf.DUMMYFUNCTION("""COMPUTED_VALUE"""),427.18)</f>
        <v>427.18</v>
      </c>
    </row>
    <row r="59" spans="1:4" ht="16">
      <c r="A59" s="25" t="str">
        <f ca="1">IFERROR(__xludf.DUMMYFUNCTION("""COMPUTED_VALUE"""),"iPhone 13 Pro Max 1T")</f>
        <v>iPhone 13 Pro Max 1T</v>
      </c>
      <c r="B59" s="24" t="str">
        <f ca="1">IFERROR(__xludf.DUMMYFUNCTION("""COMPUTED_VALUE"""),"B")</f>
        <v>B</v>
      </c>
      <c r="C59" s="24" t="str">
        <f ca="1">IFERROR(__xludf.DUMMYFUNCTION("""COMPUTED_VALUE"""),"Intl")</f>
        <v>Intl</v>
      </c>
      <c r="D59" s="24">
        <f ca="1">IFERROR(__xludf.DUMMYFUNCTION("""COMPUTED_VALUE"""),517.4)</f>
        <v>517.4</v>
      </c>
    </row>
    <row r="60" spans="1:4" ht="16">
      <c r="A60" s="25" t="str">
        <f ca="1">IFERROR(__xludf.DUMMYFUNCTION("""COMPUTED_VALUE"""),"iPhone 13 Pro Max 1T")</f>
        <v>iPhone 13 Pro Max 1T</v>
      </c>
      <c r="B60" s="24" t="str">
        <f ca="1">IFERROR(__xludf.DUMMYFUNCTION("""COMPUTED_VALUE"""),"C")</f>
        <v>C</v>
      </c>
      <c r="C60" s="24" t="str">
        <f ca="1">IFERROR(__xludf.DUMMYFUNCTION("""COMPUTED_VALUE"""),"Intl")</f>
        <v>Intl</v>
      </c>
      <c r="D60" s="24">
        <f ca="1">IFERROR(__xludf.DUMMYFUNCTION("""COMPUTED_VALUE"""),494.26)</f>
        <v>494.26</v>
      </c>
    </row>
    <row r="61" spans="1:4" ht="16">
      <c r="A61" s="25" t="str">
        <f ca="1">IFERROR(__xludf.DUMMYFUNCTION("""COMPUTED_VALUE"""),"iPhone 13 Pro Max 256G")</f>
        <v>iPhone 13 Pro Max 256G</v>
      </c>
      <c r="B61" s="24" t="str">
        <f ca="1">IFERROR(__xludf.DUMMYFUNCTION("""COMPUTED_VALUE"""),"B")</f>
        <v>B</v>
      </c>
      <c r="C61" s="24" t="str">
        <f ca="1">IFERROR(__xludf.DUMMYFUNCTION("""COMPUTED_VALUE"""),"Intl")</f>
        <v>Intl</v>
      </c>
      <c r="D61" s="24">
        <f ca="1">IFERROR(__xludf.DUMMYFUNCTION("""COMPUTED_VALUE"""),510.25)</f>
        <v>510.25</v>
      </c>
    </row>
    <row r="62" spans="1:4" ht="16">
      <c r="A62" s="25" t="str">
        <f ca="1">IFERROR(__xludf.DUMMYFUNCTION("""COMPUTED_VALUE"""),"iPhone 13 Pro Max 256G")</f>
        <v>iPhone 13 Pro Max 256G</v>
      </c>
      <c r="B62" s="24" t="str">
        <f ca="1">IFERROR(__xludf.DUMMYFUNCTION("""COMPUTED_VALUE"""),"C")</f>
        <v>C</v>
      </c>
      <c r="C62" s="24" t="str">
        <f ca="1">IFERROR(__xludf.DUMMYFUNCTION("""COMPUTED_VALUE"""),"Intl")</f>
        <v>Intl</v>
      </c>
      <c r="D62" s="24">
        <f ca="1">IFERROR(__xludf.DUMMYFUNCTION("""COMPUTED_VALUE"""),474.933333333333)</f>
        <v>474.933333333333</v>
      </c>
    </row>
    <row r="63" spans="1:4" ht="16">
      <c r="A63" s="25" t="str">
        <f ca="1">IFERROR(__xludf.DUMMYFUNCTION("""COMPUTED_VALUE"""),"iPhone 13 Pro Max 512G")</f>
        <v>iPhone 13 Pro Max 512G</v>
      </c>
      <c r="B63" s="24" t="str">
        <f ca="1">IFERROR(__xludf.DUMMYFUNCTION("""COMPUTED_VALUE"""),"B")</f>
        <v>B</v>
      </c>
      <c r="C63" s="24" t="str">
        <f ca="1">IFERROR(__xludf.DUMMYFUNCTION("""COMPUTED_VALUE"""),"Intl")</f>
        <v>Intl</v>
      </c>
      <c r="D63" s="24">
        <f ca="1">IFERROR(__xludf.DUMMYFUNCTION("""COMPUTED_VALUE"""),514.02)</f>
        <v>514.02</v>
      </c>
    </row>
    <row r="64" spans="1:4" ht="16">
      <c r="A64" s="25" t="str">
        <f ca="1">IFERROR(__xludf.DUMMYFUNCTION("""COMPUTED_VALUE"""),"iPhone 13 Pro Max 512G")</f>
        <v>iPhone 13 Pro Max 512G</v>
      </c>
      <c r="B64" s="24" t="str">
        <f ca="1">IFERROR(__xludf.DUMMYFUNCTION("""COMPUTED_VALUE"""),"C")</f>
        <v>C</v>
      </c>
      <c r="C64" s="24" t="str">
        <f ca="1">IFERROR(__xludf.DUMMYFUNCTION("""COMPUTED_VALUE"""),"Intl")</f>
        <v>Intl</v>
      </c>
      <c r="D64" s="24">
        <f ca="1">IFERROR(__xludf.DUMMYFUNCTION("""COMPUTED_VALUE"""),512.98)</f>
        <v>512.98</v>
      </c>
    </row>
    <row r="65" spans="1:4" ht="16">
      <c r="A65" s="25" t="str">
        <f ca="1">IFERROR(__xludf.DUMMYFUNCTION("""COMPUTED_VALUE"""),"iPhone 14 128G")</f>
        <v>iPhone 14 128G</v>
      </c>
      <c r="B65" s="24" t="str">
        <f ca="1">IFERROR(__xludf.DUMMYFUNCTION("""COMPUTED_VALUE"""),"A")</f>
        <v>A</v>
      </c>
      <c r="C65" s="24" t="str">
        <f ca="1">IFERROR(__xludf.DUMMYFUNCTION("""COMPUTED_VALUE"""),"Intl")</f>
        <v>Intl</v>
      </c>
      <c r="D65" s="24">
        <f ca="1">IFERROR(__xludf.DUMMYFUNCTION("""COMPUTED_VALUE"""),350.48)</f>
        <v>350.48</v>
      </c>
    </row>
    <row r="66" spans="1:4" ht="16">
      <c r="A66" s="25" t="str">
        <f ca="1">IFERROR(__xludf.DUMMYFUNCTION("""COMPUTED_VALUE"""),"iPhone 14 128G")</f>
        <v>iPhone 14 128G</v>
      </c>
      <c r="B66" s="24" t="str">
        <f ca="1">IFERROR(__xludf.DUMMYFUNCTION("""COMPUTED_VALUE"""),"A+")</f>
        <v>A+</v>
      </c>
      <c r="C66" s="24" t="str">
        <f ca="1">IFERROR(__xludf.DUMMYFUNCTION("""COMPUTED_VALUE"""),"Intl")</f>
        <v>Intl</v>
      </c>
      <c r="D66" s="24">
        <f ca="1">IFERROR(__xludf.DUMMYFUNCTION("""COMPUTED_VALUE"""),360.36)</f>
        <v>360.36</v>
      </c>
    </row>
    <row r="67" spans="1:4" ht="16">
      <c r="A67" s="25" t="str">
        <f ca="1">IFERROR(__xludf.DUMMYFUNCTION("""COMPUTED_VALUE"""),"iPhone 14 128G")</f>
        <v>iPhone 14 128G</v>
      </c>
      <c r="B67" s="24" t="str">
        <f ca="1">IFERROR(__xludf.DUMMYFUNCTION("""COMPUTED_VALUE"""),"B")</f>
        <v>B</v>
      </c>
      <c r="C67" s="24" t="str">
        <f ca="1">IFERROR(__xludf.DUMMYFUNCTION("""COMPUTED_VALUE"""),"Intl")</f>
        <v>Intl</v>
      </c>
      <c r="D67" s="24">
        <f ca="1">IFERROR(__xludf.DUMMYFUNCTION("""COMPUTED_VALUE"""),334.62)</f>
        <v>334.62</v>
      </c>
    </row>
    <row r="68" spans="1:4" ht="16">
      <c r="A68" s="25" t="str">
        <f ca="1">IFERROR(__xludf.DUMMYFUNCTION("""COMPUTED_VALUE"""),"iPhone 14 128G")</f>
        <v>iPhone 14 128G</v>
      </c>
      <c r="B68" s="24" t="str">
        <f ca="1">IFERROR(__xludf.DUMMYFUNCTION("""COMPUTED_VALUE"""),"C")</f>
        <v>C</v>
      </c>
      <c r="C68" s="24" t="str">
        <f ca="1">IFERROR(__xludf.DUMMYFUNCTION("""COMPUTED_VALUE"""),"Intl")</f>
        <v>Intl</v>
      </c>
      <c r="D68" s="24">
        <f ca="1">IFERROR(__xludf.DUMMYFUNCTION("""COMPUTED_VALUE"""),316.68)</f>
        <v>316.68</v>
      </c>
    </row>
    <row r="69" spans="1:4" ht="16">
      <c r="A69" s="25" t="str">
        <f ca="1">IFERROR(__xludf.DUMMYFUNCTION("""COMPUTED_VALUE"""),"iPhone 14 256G")</f>
        <v>iPhone 14 256G</v>
      </c>
      <c r="B69" s="24" t="str">
        <f ca="1">IFERROR(__xludf.DUMMYFUNCTION("""COMPUTED_VALUE"""),"A")</f>
        <v>A</v>
      </c>
      <c r="C69" s="24" t="str">
        <f ca="1">IFERROR(__xludf.DUMMYFUNCTION("""COMPUTED_VALUE"""),"Intl")</f>
        <v>Intl</v>
      </c>
      <c r="D69" s="24">
        <f ca="1">IFERROR(__xludf.DUMMYFUNCTION("""COMPUTED_VALUE"""),375.96)</f>
        <v>375.96</v>
      </c>
    </row>
    <row r="70" spans="1:4" ht="16">
      <c r="A70" s="25" t="str">
        <f ca="1">IFERROR(__xludf.DUMMYFUNCTION("""COMPUTED_VALUE"""),"iPhone 14 256G")</f>
        <v>iPhone 14 256G</v>
      </c>
      <c r="B70" s="24" t="str">
        <f ca="1">IFERROR(__xludf.DUMMYFUNCTION("""COMPUTED_VALUE"""),"A+")</f>
        <v>A+</v>
      </c>
      <c r="C70" s="24" t="str">
        <f ca="1">IFERROR(__xludf.DUMMYFUNCTION("""COMPUTED_VALUE"""),"Intl")</f>
        <v>Intl</v>
      </c>
      <c r="D70" s="24">
        <f ca="1">IFERROR(__xludf.DUMMYFUNCTION("""COMPUTED_VALUE"""),385.32)</f>
        <v>385.32</v>
      </c>
    </row>
    <row r="71" spans="1:4" ht="16">
      <c r="A71" s="25" t="str">
        <f ca="1">IFERROR(__xludf.DUMMYFUNCTION("""COMPUTED_VALUE"""),"iPhone 14 256G")</f>
        <v>iPhone 14 256G</v>
      </c>
      <c r="B71" s="24" t="str">
        <f ca="1">IFERROR(__xludf.DUMMYFUNCTION("""COMPUTED_VALUE"""),"B")</f>
        <v>B</v>
      </c>
      <c r="C71" s="24" t="str">
        <f ca="1">IFERROR(__xludf.DUMMYFUNCTION("""COMPUTED_VALUE"""),"Intl")</f>
        <v>Intl</v>
      </c>
      <c r="D71" s="24">
        <f ca="1">IFERROR(__xludf.DUMMYFUNCTION("""COMPUTED_VALUE"""),369.2)</f>
        <v>369.2</v>
      </c>
    </row>
    <row r="72" spans="1:4" ht="16">
      <c r="A72" s="25" t="str">
        <f ca="1">IFERROR(__xludf.DUMMYFUNCTION("""COMPUTED_VALUE"""),"iPhone 14 256G")</f>
        <v>iPhone 14 256G</v>
      </c>
      <c r="B72" s="24" t="str">
        <f ca="1">IFERROR(__xludf.DUMMYFUNCTION("""COMPUTED_VALUE"""),"C")</f>
        <v>C</v>
      </c>
      <c r="C72" s="24" t="str">
        <f ca="1">IFERROR(__xludf.DUMMYFUNCTION("""COMPUTED_VALUE"""),"Intl")</f>
        <v>Intl</v>
      </c>
      <c r="D72" s="24">
        <f ca="1">IFERROR(__xludf.DUMMYFUNCTION("""COMPUTED_VALUE"""),344.76)</f>
        <v>344.76</v>
      </c>
    </row>
    <row r="73" spans="1:4" ht="16">
      <c r="A73" s="25" t="str">
        <f ca="1">IFERROR(__xludf.DUMMYFUNCTION("""COMPUTED_VALUE"""),"iPhone 14 Plus 128G")</f>
        <v>iPhone 14 Plus 128G</v>
      </c>
      <c r="B73" s="24" t="str">
        <f ca="1">IFERROR(__xludf.DUMMYFUNCTION("""COMPUTED_VALUE"""),"A")</f>
        <v>A</v>
      </c>
      <c r="C73" s="24" t="str">
        <f ca="1">IFERROR(__xludf.DUMMYFUNCTION("""COMPUTED_VALUE"""),"Intl")</f>
        <v>Intl</v>
      </c>
      <c r="D73" s="24">
        <f ca="1">IFERROR(__xludf.DUMMYFUNCTION("""COMPUTED_VALUE"""),387.4)</f>
        <v>387.4</v>
      </c>
    </row>
    <row r="74" spans="1:4" ht="16">
      <c r="A74" s="25" t="str">
        <f ca="1">IFERROR(__xludf.DUMMYFUNCTION("""COMPUTED_VALUE"""),"iPhone 14 Plus 128G")</f>
        <v>iPhone 14 Plus 128G</v>
      </c>
      <c r="B74" s="24" t="str">
        <f ca="1">IFERROR(__xludf.DUMMYFUNCTION("""COMPUTED_VALUE"""),"A+")</f>
        <v>A+</v>
      </c>
      <c r="C74" s="24" t="str">
        <f ca="1">IFERROR(__xludf.DUMMYFUNCTION("""COMPUTED_VALUE"""),"Intl")</f>
        <v>Intl</v>
      </c>
      <c r="D74" s="24">
        <f ca="1">IFERROR(__xludf.DUMMYFUNCTION("""COMPUTED_VALUE"""),393.12)</f>
        <v>393.12</v>
      </c>
    </row>
    <row r="75" spans="1:4" ht="16">
      <c r="A75" s="25" t="str">
        <f ca="1">IFERROR(__xludf.DUMMYFUNCTION("""COMPUTED_VALUE"""),"iPhone 14 Plus 128G")</f>
        <v>iPhone 14 Plus 128G</v>
      </c>
      <c r="B75" s="24" t="str">
        <f ca="1">IFERROR(__xludf.DUMMYFUNCTION("""COMPUTED_VALUE"""),"B")</f>
        <v>B</v>
      </c>
      <c r="C75" s="24" t="str">
        <f ca="1">IFERROR(__xludf.DUMMYFUNCTION("""COMPUTED_VALUE"""),"Intl")</f>
        <v>Intl</v>
      </c>
      <c r="D75" s="24">
        <f ca="1">IFERROR(__xludf.DUMMYFUNCTION("""COMPUTED_VALUE"""),381.16)</f>
        <v>381.16</v>
      </c>
    </row>
    <row r="76" spans="1:4" ht="16">
      <c r="A76" s="25" t="str">
        <f ca="1">IFERROR(__xludf.DUMMYFUNCTION("""COMPUTED_VALUE"""),"iPhone 14 Plus 256G")</f>
        <v>iPhone 14 Plus 256G</v>
      </c>
      <c r="B76" s="24" t="str">
        <f ca="1">IFERROR(__xludf.DUMMYFUNCTION("""COMPUTED_VALUE"""),"A")</f>
        <v>A</v>
      </c>
      <c r="C76" s="24" t="str">
        <f ca="1">IFERROR(__xludf.DUMMYFUNCTION("""COMPUTED_VALUE"""),"Intl")</f>
        <v>Intl</v>
      </c>
      <c r="D76" s="24">
        <f ca="1">IFERROR(__xludf.DUMMYFUNCTION("""COMPUTED_VALUE"""),412.36)</f>
        <v>412.36</v>
      </c>
    </row>
    <row r="77" spans="1:4" ht="16">
      <c r="A77" s="25" t="str">
        <f ca="1">IFERROR(__xludf.DUMMYFUNCTION("""COMPUTED_VALUE"""),"iPhone 14 Plus 256G")</f>
        <v>iPhone 14 Plus 256G</v>
      </c>
      <c r="B77" s="24" t="str">
        <f ca="1">IFERROR(__xludf.DUMMYFUNCTION("""COMPUTED_VALUE"""),"A+")</f>
        <v>A+</v>
      </c>
      <c r="C77" s="24" t="str">
        <f ca="1">IFERROR(__xludf.DUMMYFUNCTION("""COMPUTED_VALUE"""),"Intl")</f>
        <v>Intl</v>
      </c>
      <c r="D77" s="24">
        <f ca="1">IFERROR(__xludf.DUMMYFUNCTION("""COMPUTED_VALUE"""),414.96)</f>
        <v>414.96</v>
      </c>
    </row>
    <row r="78" spans="1:4" ht="16">
      <c r="A78" s="25" t="str">
        <f ca="1">IFERROR(__xludf.DUMMYFUNCTION("""COMPUTED_VALUE"""),"iPhone 14 Plus 256G")</f>
        <v>iPhone 14 Plus 256G</v>
      </c>
      <c r="B78" s="24" t="str">
        <f ca="1">IFERROR(__xludf.DUMMYFUNCTION("""COMPUTED_VALUE"""),"B")</f>
        <v>B</v>
      </c>
      <c r="C78" s="24" t="str">
        <f ca="1">IFERROR(__xludf.DUMMYFUNCTION("""COMPUTED_VALUE"""),"Intl")</f>
        <v>Intl</v>
      </c>
      <c r="D78" s="24">
        <f ca="1">IFERROR(__xludf.DUMMYFUNCTION("""COMPUTED_VALUE"""),378.04)</f>
        <v>378.04</v>
      </c>
    </row>
    <row r="79" spans="1:4" ht="16">
      <c r="A79" s="25" t="str">
        <f ca="1">IFERROR(__xludf.DUMMYFUNCTION("""COMPUTED_VALUE"""),"iPhone 14 Plus 256G")</f>
        <v>iPhone 14 Plus 256G</v>
      </c>
      <c r="B79" s="24" t="str">
        <f ca="1">IFERROR(__xludf.DUMMYFUNCTION("""COMPUTED_VALUE"""),"C")</f>
        <v>C</v>
      </c>
      <c r="C79" s="24" t="str">
        <f ca="1">IFERROR(__xludf.DUMMYFUNCTION("""COMPUTED_VALUE"""),"Intl")</f>
        <v>Intl</v>
      </c>
      <c r="D79" s="24">
        <f ca="1">IFERROR(__xludf.DUMMYFUNCTION("""COMPUTED_VALUE"""),361.92)</f>
        <v>361.92</v>
      </c>
    </row>
    <row r="80" spans="1:4" ht="16">
      <c r="A80" s="25" t="str">
        <f ca="1">IFERROR(__xludf.DUMMYFUNCTION("""COMPUTED_VALUE"""),"iPhone 14 Plus 512G")</f>
        <v>iPhone 14 Plus 512G</v>
      </c>
      <c r="B80" s="24" t="str">
        <f ca="1">IFERROR(__xludf.DUMMYFUNCTION("""COMPUTED_VALUE"""),"B")</f>
        <v>B</v>
      </c>
      <c r="C80" s="24" t="str">
        <f ca="1">IFERROR(__xludf.DUMMYFUNCTION("""COMPUTED_VALUE"""),"Intl")</f>
        <v>Intl</v>
      </c>
      <c r="D80" s="24">
        <f ca="1">IFERROR(__xludf.DUMMYFUNCTION("""COMPUTED_VALUE"""),403)</f>
        <v>403</v>
      </c>
    </row>
    <row r="81" spans="1:4" ht="16">
      <c r="A81" s="25" t="str">
        <f ca="1">IFERROR(__xludf.DUMMYFUNCTION("""COMPUTED_VALUE"""),"iPhone 14 Pro 128G")</f>
        <v>iPhone 14 Pro 128G</v>
      </c>
      <c r="B81" s="24" t="str">
        <f ca="1">IFERROR(__xludf.DUMMYFUNCTION("""COMPUTED_VALUE"""),"A")</f>
        <v>A</v>
      </c>
      <c r="C81" s="24" t="str">
        <f ca="1">IFERROR(__xludf.DUMMYFUNCTION("""COMPUTED_VALUE"""),"Intl")</f>
        <v>Intl</v>
      </c>
      <c r="D81" s="24">
        <f ca="1">IFERROR(__xludf.DUMMYFUNCTION("""COMPUTED_VALUE"""),534.04)</f>
        <v>534.04</v>
      </c>
    </row>
    <row r="82" spans="1:4" ht="16">
      <c r="A82" s="25" t="str">
        <f ca="1">IFERROR(__xludf.DUMMYFUNCTION("""COMPUTED_VALUE"""),"iPhone 14 Pro 128G")</f>
        <v>iPhone 14 Pro 128G</v>
      </c>
      <c r="B82" s="24" t="str">
        <f ca="1">IFERROR(__xludf.DUMMYFUNCTION("""COMPUTED_VALUE"""),"A+")</f>
        <v>A+</v>
      </c>
      <c r="C82" s="24" t="str">
        <f ca="1">IFERROR(__xludf.DUMMYFUNCTION("""COMPUTED_VALUE"""),"Intl")</f>
        <v>Intl</v>
      </c>
      <c r="D82" s="24">
        <f ca="1">IFERROR(__xludf.DUMMYFUNCTION("""COMPUTED_VALUE"""),540.8)</f>
        <v>540.79999999999995</v>
      </c>
    </row>
    <row r="83" spans="1:4" ht="16">
      <c r="A83" s="25" t="str">
        <f ca="1">IFERROR(__xludf.DUMMYFUNCTION("""COMPUTED_VALUE"""),"iPhone 14 Pro 128G")</f>
        <v>iPhone 14 Pro 128G</v>
      </c>
      <c r="B83" s="24" t="str">
        <f ca="1">IFERROR(__xludf.DUMMYFUNCTION("""COMPUTED_VALUE"""),"B")</f>
        <v>B</v>
      </c>
      <c r="C83" s="24" t="str">
        <f ca="1">IFERROR(__xludf.DUMMYFUNCTION("""COMPUTED_VALUE"""),"Intl")</f>
        <v>Intl</v>
      </c>
      <c r="D83" s="24">
        <f ca="1">IFERROR(__xludf.DUMMYFUNCTION("""COMPUTED_VALUE"""),514.973333333333)</f>
        <v>514.97333333333302</v>
      </c>
    </row>
    <row r="84" spans="1:4" ht="16">
      <c r="A84" s="25" t="str">
        <f ca="1">IFERROR(__xludf.DUMMYFUNCTION("""COMPUTED_VALUE"""),"iPhone 14 Pro 128G")</f>
        <v>iPhone 14 Pro 128G</v>
      </c>
      <c r="B84" s="24" t="str">
        <f ca="1">IFERROR(__xludf.DUMMYFUNCTION("""COMPUTED_VALUE"""),"C")</f>
        <v>C</v>
      </c>
      <c r="C84" s="24" t="str">
        <f ca="1">IFERROR(__xludf.DUMMYFUNCTION("""COMPUTED_VALUE"""),"Intl")</f>
        <v>Intl</v>
      </c>
      <c r="D84" s="24">
        <f ca="1">IFERROR(__xludf.DUMMYFUNCTION("""COMPUTED_VALUE"""),488.28)</f>
        <v>488.28</v>
      </c>
    </row>
    <row r="85" spans="1:4" ht="16">
      <c r="A85" s="25" t="str">
        <f ca="1">IFERROR(__xludf.DUMMYFUNCTION("""COMPUTED_VALUE"""),"iPhone 14 Pro 256G")</f>
        <v>iPhone 14 Pro 256G</v>
      </c>
      <c r="B85" s="24" t="str">
        <f ca="1">IFERROR(__xludf.DUMMYFUNCTION("""COMPUTED_VALUE"""),"A")</f>
        <v>A</v>
      </c>
      <c r="C85" s="24" t="str">
        <f ca="1">IFERROR(__xludf.DUMMYFUNCTION("""COMPUTED_VALUE"""),"Intl")</f>
        <v>Intl</v>
      </c>
      <c r="D85" s="24">
        <f ca="1">IFERROR(__xludf.DUMMYFUNCTION("""COMPUTED_VALUE"""),577.2)</f>
        <v>577.20000000000005</v>
      </c>
    </row>
    <row r="86" spans="1:4" ht="16">
      <c r="A86" s="25" t="str">
        <f ca="1">IFERROR(__xludf.DUMMYFUNCTION("""COMPUTED_VALUE"""),"iPhone 14 Pro 256G")</f>
        <v>iPhone 14 Pro 256G</v>
      </c>
      <c r="B86" s="24" t="str">
        <f ca="1">IFERROR(__xludf.DUMMYFUNCTION("""COMPUTED_VALUE"""),"A+")</f>
        <v>A+</v>
      </c>
      <c r="C86" s="24" t="str">
        <f ca="1">IFERROR(__xludf.DUMMYFUNCTION("""COMPUTED_VALUE"""),"Intl")</f>
        <v>Intl</v>
      </c>
      <c r="D86" s="24">
        <f ca="1">IFERROR(__xludf.DUMMYFUNCTION("""COMPUTED_VALUE"""),583.96)</f>
        <v>583.96</v>
      </c>
    </row>
    <row r="87" spans="1:4" ht="16">
      <c r="A87" s="25" t="str">
        <f ca="1">IFERROR(__xludf.DUMMYFUNCTION("""COMPUTED_VALUE"""),"iPhone 14 Pro 256G")</f>
        <v>iPhone 14 Pro 256G</v>
      </c>
      <c r="B87" s="24" t="str">
        <f ca="1">IFERROR(__xludf.DUMMYFUNCTION("""COMPUTED_VALUE"""),"B")</f>
        <v>B</v>
      </c>
      <c r="C87" s="24" t="str">
        <f ca="1">IFERROR(__xludf.DUMMYFUNCTION("""COMPUTED_VALUE"""),"Intl")</f>
        <v>Intl</v>
      </c>
      <c r="D87" s="24">
        <f ca="1">IFERROR(__xludf.DUMMYFUNCTION("""COMPUTED_VALUE"""),561.86)</f>
        <v>561.86</v>
      </c>
    </row>
    <row r="88" spans="1:4" ht="16">
      <c r="A88" s="25" t="str">
        <f ca="1">IFERROR(__xludf.DUMMYFUNCTION("""COMPUTED_VALUE"""),"iPhone 14 Pro 512G")</f>
        <v>iPhone 14 Pro 512G</v>
      </c>
      <c r="B88" s="24" t="str">
        <f ca="1">IFERROR(__xludf.DUMMYFUNCTION("""COMPUTED_VALUE"""),"A+")</f>
        <v>A+</v>
      </c>
      <c r="C88" s="24" t="str">
        <f ca="1">IFERROR(__xludf.DUMMYFUNCTION("""COMPUTED_VALUE"""),"Intl")</f>
        <v>Intl</v>
      </c>
      <c r="D88" s="24">
        <f ca="1">IFERROR(__xludf.DUMMYFUNCTION("""COMPUTED_VALUE"""),594.36)</f>
        <v>594.36</v>
      </c>
    </row>
    <row r="89" spans="1:4" ht="16">
      <c r="A89" s="25" t="str">
        <f ca="1">IFERROR(__xludf.DUMMYFUNCTION("""COMPUTED_VALUE"""),"iPhone 14 Pro 512G")</f>
        <v>iPhone 14 Pro 512G</v>
      </c>
      <c r="B89" s="24" t="str">
        <f ca="1">IFERROR(__xludf.DUMMYFUNCTION("""COMPUTED_VALUE"""),"B")</f>
        <v>B</v>
      </c>
      <c r="C89" s="24" t="str">
        <f ca="1">IFERROR(__xludf.DUMMYFUNCTION("""COMPUTED_VALUE"""),"Intl")</f>
        <v>Intl</v>
      </c>
      <c r="D89" s="24">
        <f ca="1">IFERROR(__xludf.DUMMYFUNCTION("""COMPUTED_VALUE"""),543.92)</f>
        <v>543.91999999999996</v>
      </c>
    </row>
    <row r="90" spans="1:4" ht="16">
      <c r="A90" s="25" t="str">
        <f ca="1">IFERROR(__xludf.DUMMYFUNCTION("""COMPUTED_VALUE"""),"iPhone 14 Pro Max 128G")</f>
        <v>iPhone 14 Pro Max 128G</v>
      </c>
      <c r="B90" s="24" t="str">
        <f ca="1">IFERROR(__xludf.DUMMYFUNCTION("""COMPUTED_VALUE"""),"A")</f>
        <v>A</v>
      </c>
      <c r="C90" s="24" t="str">
        <f ca="1">IFERROR(__xludf.DUMMYFUNCTION("""COMPUTED_VALUE"""),"Intl")</f>
        <v>Intl</v>
      </c>
      <c r="D90" s="24">
        <f ca="1">IFERROR(__xludf.DUMMYFUNCTION("""COMPUTED_VALUE"""),619.32)</f>
        <v>619.32000000000005</v>
      </c>
    </row>
    <row r="91" spans="1:4" ht="16">
      <c r="A91" s="25" t="str">
        <f ca="1">IFERROR(__xludf.DUMMYFUNCTION("""COMPUTED_VALUE"""),"iPhone 14 Pro Max 128G")</f>
        <v>iPhone 14 Pro Max 128G</v>
      </c>
      <c r="B91" s="24" t="str">
        <f ca="1">IFERROR(__xludf.DUMMYFUNCTION("""COMPUTED_VALUE"""),"A+")</f>
        <v>A+</v>
      </c>
      <c r="C91" s="24" t="str">
        <f ca="1">IFERROR(__xludf.DUMMYFUNCTION("""COMPUTED_VALUE"""),"Intl")</f>
        <v>Intl</v>
      </c>
      <c r="D91" s="24">
        <f ca="1">IFERROR(__xludf.DUMMYFUNCTION("""COMPUTED_VALUE"""),628.16)</f>
        <v>628.16</v>
      </c>
    </row>
    <row r="92" spans="1:4" ht="16">
      <c r="A92" s="25" t="str">
        <f ca="1">IFERROR(__xludf.DUMMYFUNCTION("""COMPUTED_VALUE"""),"iPhone 14 Pro Max 128G")</f>
        <v>iPhone 14 Pro Max 128G</v>
      </c>
      <c r="B92" s="24" t="str">
        <f ca="1">IFERROR(__xludf.DUMMYFUNCTION("""COMPUTED_VALUE"""),"B")</f>
        <v>B</v>
      </c>
      <c r="C92" s="24" t="str">
        <f ca="1">IFERROR(__xludf.DUMMYFUNCTION("""COMPUTED_VALUE"""),"Intl")</f>
        <v>Intl</v>
      </c>
      <c r="D92" s="24">
        <f ca="1">IFERROR(__xludf.DUMMYFUNCTION("""COMPUTED_VALUE"""),611)</f>
        <v>611</v>
      </c>
    </row>
    <row r="93" spans="1:4" ht="16">
      <c r="A93" s="25" t="str">
        <f ca="1">IFERROR(__xludf.DUMMYFUNCTION("""COMPUTED_VALUE"""),"iPhone 14 Pro Max 1T")</f>
        <v>iPhone 14 Pro Max 1T</v>
      </c>
      <c r="B93" s="24" t="str">
        <f ca="1">IFERROR(__xludf.DUMMYFUNCTION("""COMPUTED_VALUE"""),"B")</f>
        <v>B</v>
      </c>
      <c r="C93" s="24" t="str">
        <f ca="1">IFERROR(__xludf.DUMMYFUNCTION("""COMPUTED_VALUE"""),"Intl")</f>
        <v>Intl</v>
      </c>
      <c r="D93" s="24">
        <f ca="1">IFERROR(__xludf.DUMMYFUNCTION("""COMPUTED_VALUE"""),664.04)</f>
        <v>664.04</v>
      </c>
    </row>
    <row r="94" spans="1:4" ht="16">
      <c r="A94" s="25" t="str">
        <f ca="1">IFERROR(__xludf.DUMMYFUNCTION("""COMPUTED_VALUE"""),"iPhone 14 Pro Max 256G")</f>
        <v>iPhone 14 Pro Max 256G</v>
      </c>
      <c r="B94" s="24" t="str">
        <f ca="1">IFERROR(__xludf.DUMMYFUNCTION("""COMPUTED_VALUE"""),"A")</f>
        <v>A</v>
      </c>
      <c r="C94" s="24" t="str">
        <f ca="1">IFERROR(__xludf.DUMMYFUNCTION("""COMPUTED_VALUE"""),"Intl")</f>
        <v>Intl</v>
      </c>
      <c r="D94" s="24">
        <f ca="1">IFERROR(__xludf.DUMMYFUNCTION("""COMPUTED_VALUE"""),677.56)</f>
        <v>677.56</v>
      </c>
    </row>
    <row r="95" spans="1:4" ht="16">
      <c r="A95" s="25" t="str">
        <f ca="1">IFERROR(__xludf.DUMMYFUNCTION("""COMPUTED_VALUE"""),"iPhone 14 Pro Max 256G")</f>
        <v>iPhone 14 Pro Max 256G</v>
      </c>
      <c r="B95" s="24" t="str">
        <f ca="1">IFERROR(__xludf.DUMMYFUNCTION("""COMPUTED_VALUE"""),"A+")</f>
        <v>A+</v>
      </c>
      <c r="C95" s="24" t="str">
        <f ca="1">IFERROR(__xludf.DUMMYFUNCTION("""COMPUTED_VALUE"""),"Intl")</f>
        <v>Intl</v>
      </c>
      <c r="D95" s="24">
        <f ca="1">IFERROR(__xludf.DUMMYFUNCTION("""COMPUTED_VALUE"""),693.68)</f>
        <v>693.68</v>
      </c>
    </row>
    <row r="96" spans="1:4" ht="16">
      <c r="A96" s="25" t="str">
        <f ca="1">IFERROR(__xludf.DUMMYFUNCTION("""COMPUTED_VALUE"""),"iPhone 14 Pro Max 256G")</f>
        <v>iPhone 14 Pro Max 256G</v>
      </c>
      <c r="B96" s="24" t="str">
        <f ca="1">IFERROR(__xludf.DUMMYFUNCTION("""COMPUTED_VALUE"""),"B")</f>
        <v>B</v>
      </c>
      <c r="C96" s="24" t="str">
        <f ca="1">IFERROR(__xludf.DUMMYFUNCTION("""COMPUTED_VALUE"""),"Intl")</f>
        <v>Intl</v>
      </c>
      <c r="D96" s="24">
        <f ca="1">IFERROR(__xludf.DUMMYFUNCTION("""COMPUTED_VALUE"""),655.72)</f>
        <v>655.72</v>
      </c>
    </row>
    <row r="97" spans="1:4" ht="16">
      <c r="A97" s="25" t="str">
        <f ca="1">IFERROR(__xludf.DUMMYFUNCTION("""COMPUTED_VALUE"""),"iPhone 14 Pro Max 512G")</f>
        <v>iPhone 14 Pro Max 512G</v>
      </c>
      <c r="B97" s="24" t="str">
        <f ca="1">IFERROR(__xludf.DUMMYFUNCTION("""COMPUTED_VALUE"""),"B")</f>
        <v>B</v>
      </c>
      <c r="C97" s="24" t="str">
        <f ca="1">IFERROR(__xludf.DUMMYFUNCTION("""COMPUTED_VALUE"""),"Intl")</f>
        <v>Intl</v>
      </c>
      <c r="D97" s="24">
        <f ca="1">IFERROR(__xludf.DUMMYFUNCTION("""COMPUTED_VALUE"""),675.61)</f>
        <v>675.61</v>
      </c>
    </row>
    <row r="98" spans="1:4" ht="16">
      <c r="A98" s="25" t="str">
        <f ca="1">IFERROR(__xludf.DUMMYFUNCTION("""COMPUTED_VALUE"""),"iPhone 14 Pro Max 512G")</f>
        <v>iPhone 14 Pro Max 512G</v>
      </c>
      <c r="B98" s="24" t="str">
        <f ca="1">IFERROR(__xludf.DUMMYFUNCTION("""COMPUTED_VALUE"""),"C")</f>
        <v>C</v>
      </c>
      <c r="C98" s="24" t="str">
        <f ca="1">IFERROR(__xludf.DUMMYFUNCTION("""COMPUTED_VALUE"""),"Intl")</f>
        <v>Intl</v>
      </c>
      <c r="D98" s="24">
        <f ca="1">IFERROR(__xludf.DUMMYFUNCTION("""COMPUTED_VALUE"""),622.96)</f>
        <v>622.96</v>
      </c>
    </row>
    <row r="99" spans="1:4" ht="16">
      <c r="A99" s="25" t="str">
        <f ca="1">IFERROR(__xludf.DUMMYFUNCTION("""COMPUTED_VALUE"""),"iPhone 15 128G")</f>
        <v>iPhone 15 128G</v>
      </c>
      <c r="B99" s="24" t="str">
        <f ca="1">IFERROR(__xludf.DUMMYFUNCTION("""COMPUTED_VALUE"""),"B")</f>
        <v>B</v>
      </c>
      <c r="C99" s="24" t="str">
        <f ca="1">IFERROR(__xludf.DUMMYFUNCTION("""COMPUTED_VALUE"""),"Intl")</f>
        <v>Intl</v>
      </c>
      <c r="D99" s="24">
        <f ca="1">IFERROR(__xludf.DUMMYFUNCTION("""COMPUTED_VALUE"""),466.44)</f>
        <v>466.44</v>
      </c>
    </row>
    <row r="100" spans="1:4" ht="16">
      <c r="A100" s="25" t="str">
        <f ca="1">IFERROR(__xludf.DUMMYFUNCTION("""COMPUTED_VALUE"""),"iPhone 15 128G")</f>
        <v>iPhone 15 128G</v>
      </c>
      <c r="B100" s="24" t="str">
        <f ca="1">IFERROR(__xludf.DUMMYFUNCTION("""COMPUTED_VALUE"""),"C")</f>
        <v>C</v>
      </c>
      <c r="C100" s="24" t="str">
        <f ca="1">IFERROR(__xludf.DUMMYFUNCTION("""COMPUTED_VALUE"""),"Intl")</f>
        <v>Intl</v>
      </c>
      <c r="D100" s="24">
        <f ca="1">IFERROR(__xludf.DUMMYFUNCTION("""COMPUTED_VALUE"""),459.68)</f>
        <v>459.68</v>
      </c>
    </row>
    <row r="101" spans="1:4" ht="16">
      <c r="A101" s="25" t="str">
        <f ca="1">IFERROR(__xludf.DUMMYFUNCTION("""COMPUTED_VALUE"""),"iPhone 15 256G")</f>
        <v>iPhone 15 256G</v>
      </c>
      <c r="B101" s="24" t="str">
        <f ca="1">IFERROR(__xludf.DUMMYFUNCTION("""COMPUTED_VALUE"""),"B")</f>
        <v>B</v>
      </c>
      <c r="C101" s="24" t="str">
        <f ca="1">IFERROR(__xludf.DUMMYFUNCTION("""COMPUTED_VALUE"""),"Intl")</f>
        <v>Intl</v>
      </c>
      <c r="D101" s="24">
        <f ca="1">IFERROR(__xludf.DUMMYFUNCTION("""COMPUTED_VALUE"""),523.64)</f>
        <v>523.64</v>
      </c>
    </row>
    <row r="102" spans="1:4" ht="16">
      <c r="A102" s="25" t="str">
        <f ca="1">IFERROR(__xludf.DUMMYFUNCTION("""COMPUTED_VALUE"""),"iPhone 15 Plus 128G")</f>
        <v>iPhone 15 Plus 128G</v>
      </c>
      <c r="B102" s="24" t="str">
        <f ca="1">IFERROR(__xludf.DUMMYFUNCTION("""COMPUTED_VALUE"""),"B")</f>
        <v>B</v>
      </c>
      <c r="C102" s="24" t="str">
        <f ca="1">IFERROR(__xludf.DUMMYFUNCTION("""COMPUTED_VALUE"""),"Intl")</f>
        <v>Intl</v>
      </c>
      <c r="D102" s="24">
        <f ca="1">IFERROR(__xludf.DUMMYFUNCTION("""COMPUTED_VALUE"""),526.76)</f>
        <v>526.76</v>
      </c>
    </row>
    <row r="103" spans="1:4" ht="16">
      <c r="A103" s="25" t="str">
        <f ca="1">IFERROR(__xludf.DUMMYFUNCTION("""COMPUTED_VALUE"""),"iPhone 15 Plus 256G")</f>
        <v>iPhone 15 Plus 256G</v>
      </c>
      <c r="B103" s="24" t="str">
        <f ca="1">IFERROR(__xludf.DUMMYFUNCTION("""COMPUTED_VALUE"""),"C")</f>
        <v>C</v>
      </c>
      <c r="C103" s="24" t="str">
        <f ca="1">IFERROR(__xludf.DUMMYFUNCTION("""COMPUTED_VALUE"""),"Intl")</f>
        <v>Intl</v>
      </c>
      <c r="D103" s="24">
        <f ca="1">IFERROR(__xludf.DUMMYFUNCTION("""COMPUTED_VALUE"""),582.92)</f>
        <v>582.91999999999996</v>
      </c>
    </row>
    <row r="104" spans="1:4" ht="16">
      <c r="A104" s="25" t="str">
        <f ca="1">IFERROR(__xludf.DUMMYFUNCTION("""COMPUTED_VALUE"""),"iPhone 15 Pro 128G")</f>
        <v>iPhone 15 Pro 128G</v>
      </c>
      <c r="B104" s="24" t="str">
        <f ca="1">IFERROR(__xludf.DUMMYFUNCTION("""COMPUTED_VALUE"""),"B")</f>
        <v>B</v>
      </c>
      <c r="C104" s="24" t="str">
        <f ca="1">IFERROR(__xludf.DUMMYFUNCTION("""COMPUTED_VALUE"""),"Intl")</f>
        <v>Intl</v>
      </c>
      <c r="D104" s="24">
        <f ca="1">IFERROR(__xludf.DUMMYFUNCTION("""COMPUTED_VALUE"""),671.32)</f>
        <v>671.32</v>
      </c>
    </row>
    <row r="105" spans="1:4" ht="16">
      <c r="A105" s="25" t="str">
        <f ca="1">IFERROR(__xludf.DUMMYFUNCTION("""COMPUTED_VALUE"""),"iPhone 15 Pro 128G")</f>
        <v>iPhone 15 Pro 128G</v>
      </c>
      <c r="B105" s="24" t="str">
        <f ca="1">IFERROR(__xludf.DUMMYFUNCTION("""COMPUTED_VALUE"""),"C")</f>
        <v>C</v>
      </c>
      <c r="C105" s="24" t="str">
        <f ca="1">IFERROR(__xludf.DUMMYFUNCTION("""COMPUTED_VALUE"""),"Intl")</f>
        <v>Intl</v>
      </c>
      <c r="D105" s="24">
        <f ca="1">IFERROR(__xludf.DUMMYFUNCTION("""COMPUTED_VALUE"""),669.24)</f>
        <v>669.24</v>
      </c>
    </row>
    <row r="106" spans="1:4" ht="16">
      <c r="A106" s="25" t="str">
        <f ca="1">IFERROR(__xludf.DUMMYFUNCTION("""COMPUTED_VALUE"""),"iPhone 15 Pro 1T")</f>
        <v>iPhone 15 Pro 1T</v>
      </c>
      <c r="B106" s="24" t="str">
        <f ca="1">IFERROR(__xludf.DUMMYFUNCTION("""COMPUTED_VALUE"""),"B")</f>
        <v>B</v>
      </c>
      <c r="C106" s="24" t="str">
        <f ca="1">IFERROR(__xludf.DUMMYFUNCTION("""COMPUTED_VALUE"""),"Intl")</f>
        <v>Intl</v>
      </c>
      <c r="D106" s="24">
        <f ca="1">IFERROR(__xludf.DUMMYFUNCTION("""COMPUTED_VALUE"""),845.26)</f>
        <v>845.26</v>
      </c>
    </row>
    <row r="107" spans="1:4" ht="16">
      <c r="A107" s="25" t="str">
        <f ca="1">IFERROR(__xludf.DUMMYFUNCTION("""COMPUTED_VALUE"""),"iPhone 15 Pro 256G")</f>
        <v>iPhone 15 Pro 256G</v>
      </c>
      <c r="B107" s="24" t="str">
        <f ca="1">IFERROR(__xludf.DUMMYFUNCTION("""COMPUTED_VALUE"""),"B")</f>
        <v>B</v>
      </c>
      <c r="C107" s="24" t="str">
        <f ca="1">IFERROR(__xludf.DUMMYFUNCTION("""COMPUTED_VALUE"""),"Intl")</f>
        <v>Intl</v>
      </c>
      <c r="D107" s="24">
        <f ca="1">IFERROR(__xludf.DUMMYFUNCTION("""COMPUTED_VALUE"""),726.7)</f>
        <v>726.7</v>
      </c>
    </row>
    <row r="108" spans="1:4" ht="16">
      <c r="A108" s="25" t="str">
        <f ca="1">IFERROR(__xludf.DUMMYFUNCTION("""COMPUTED_VALUE"""),"iPhone 15 Pro 256G")</f>
        <v>iPhone 15 Pro 256G</v>
      </c>
      <c r="B108" s="24" t="str">
        <f ca="1">IFERROR(__xludf.DUMMYFUNCTION("""COMPUTED_VALUE"""),"C")</f>
        <v>C</v>
      </c>
      <c r="C108" s="24" t="str">
        <f ca="1">IFERROR(__xludf.DUMMYFUNCTION("""COMPUTED_VALUE"""),"Intl")</f>
        <v>Intl</v>
      </c>
      <c r="D108" s="24">
        <f ca="1">IFERROR(__xludf.DUMMYFUNCTION("""COMPUTED_VALUE"""),715.52)</f>
        <v>715.52</v>
      </c>
    </row>
    <row r="109" spans="1:4" ht="16">
      <c r="A109" s="25" t="str">
        <f ca="1">IFERROR(__xludf.DUMMYFUNCTION("""COMPUTED_VALUE"""),"iPhone 15 Pro 512G")</f>
        <v>iPhone 15 Pro 512G</v>
      </c>
      <c r="B109" s="24" t="str">
        <f ca="1">IFERROR(__xludf.DUMMYFUNCTION("""COMPUTED_VALUE"""),"B")</f>
        <v>B</v>
      </c>
      <c r="C109" s="24" t="str">
        <f ca="1">IFERROR(__xludf.DUMMYFUNCTION("""COMPUTED_VALUE"""),"Intl")</f>
        <v>Intl</v>
      </c>
      <c r="D109" s="24">
        <f ca="1">IFERROR(__xludf.DUMMYFUNCTION("""COMPUTED_VALUE"""),762.58)</f>
        <v>762.58</v>
      </c>
    </row>
    <row r="110" spans="1:4" ht="16">
      <c r="A110" s="25" t="str">
        <f ca="1">IFERROR(__xludf.DUMMYFUNCTION("""COMPUTED_VALUE"""),"iPhone 15 Pro Max 1T")</f>
        <v>iPhone 15 Pro Max 1T</v>
      </c>
      <c r="B110" s="24" t="str">
        <f ca="1">IFERROR(__xludf.DUMMYFUNCTION("""COMPUTED_VALUE"""),"B")</f>
        <v>B</v>
      </c>
      <c r="C110" s="24" t="str">
        <f ca="1">IFERROR(__xludf.DUMMYFUNCTION("""COMPUTED_VALUE"""),"Intl")</f>
        <v>Intl</v>
      </c>
      <c r="D110" s="24">
        <f ca="1">IFERROR(__xludf.DUMMYFUNCTION("""COMPUTED_VALUE"""),868.92)</f>
        <v>868.92</v>
      </c>
    </row>
    <row r="111" spans="1:4" ht="16">
      <c r="A111" s="25" t="str">
        <f ca="1">IFERROR(__xludf.DUMMYFUNCTION("""COMPUTED_VALUE"""),"iPhone 15 Pro Max 256G")</f>
        <v>iPhone 15 Pro Max 256G</v>
      </c>
      <c r="B111" s="24" t="str">
        <f ca="1">IFERROR(__xludf.DUMMYFUNCTION("""COMPUTED_VALUE"""),"B")</f>
        <v>B</v>
      </c>
      <c r="C111" s="24" t="str">
        <f ca="1">IFERROR(__xludf.DUMMYFUNCTION("""COMPUTED_VALUE"""),"Intl")</f>
        <v>Intl</v>
      </c>
      <c r="D111" s="24">
        <f ca="1">IFERROR(__xludf.DUMMYFUNCTION("""COMPUTED_VALUE"""),797.16)</f>
        <v>797.16</v>
      </c>
    </row>
    <row r="112" spans="1:4" ht="16">
      <c r="A112" s="25" t="str">
        <f ca="1">IFERROR(__xludf.DUMMYFUNCTION("""COMPUTED_VALUE"""),"iPhone 15 Pro Max 256G")</f>
        <v>iPhone 15 Pro Max 256G</v>
      </c>
      <c r="B112" s="24" t="str">
        <f ca="1">IFERROR(__xludf.DUMMYFUNCTION("""COMPUTED_VALUE"""),"C")</f>
        <v>C</v>
      </c>
      <c r="C112" s="24" t="str">
        <f ca="1">IFERROR(__xludf.DUMMYFUNCTION("""COMPUTED_VALUE"""),"Intl")</f>
        <v>Intl</v>
      </c>
      <c r="D112" s="24">
        <f ca="1">IFERROR(__xludf.DUMMYFUNCTION("""COMPUTED_VALUE"""),776.36)</f>
        <v>776.36</v>
      </c>
    </row>
    <row r="113" spans="1:4" ht="16">
      <c r="A113" s="25" t="str">
        <f ca="1">IFERROR(__xludf.DUMMYFUNCTION("""COMPUTED_VALUE"""),"iPhone 15 Pro Max 512G")</f>
        <v>iPhone 15 Pro Max 512G</v>
      </c>
      <c r="B113" s="24" t="str">
        <f ca="1">IFERROR(__xludf.DUMMYFUNCTION("""COMPUTED_VALUE"""),"C")</f>
        <v>C</v>
      </c>
      <c r="C113" s="24" t="str">
        <f ca="1">IFERROR(__xludf.DUMMYFUNCTION("""COMPUTED_VALUE"""),"Intl")</f>
        <v>Intl</v>
      </c>
      <c r="D113" s="24">
        <f ca="1">IFERROR(__xludf.DUMMYFUNCTION("""COMPUTED_VALUE"""),806.52)</f>
        <v>806.52</v>
      </c>
    </row>
    <row r="114" spans="1:4" ht="16">
      <c r="A114" s="25" t="str">
        <f ca="1">IFERROR(__xludf.DUMMYFUNCTION("""COMPUTED_VALUE"""),"iPhone 16 128G")</f>
        <v>iPhone 16 128G</v>
      </c>
      <c r="B114" s="24" t="str">
        <f ca="1">IFERROR(__xludf.DUMMYFUNCTION("""COMPUTED_VALUE"""),"B")</f>
        <v>B</v>
      </c>
      <c r="C114" s="24" t="str">
        <f ca="1">IFERROR(__xludf.DUMMYFUNCTION("""COMPUTED_VALUE"""),"Intl")</f>
        <v>Intl</v>
      </c>
      <c r="D114" s="24">
        <f ca="1">IFERROR(__xludf.DUMMYFUNCTION("""COMPUTED_VALUE"""),625.56)</f>
        <v>625.55999999999995</v>
      </c>
    </row>
    <row r="115" spans="1:4" ht="16">
      <c r="A115" s="25" t="str">
        <f ca="1">IFERROR(__xludf.DUMMYFUNCTION("""COMPUTED_VALUE"""),"iPhone 16 128G")</f>
        <v>iPhone 16 128G</v>
      </c>
      <c r="B115" s="24" t="str">
        <f ca="1">IFERROR(__xludf.DUMMYFUNCTION("""COMPUTED_VALUE"""),"C")</f>
        <v>C</v>
      </c>
      <c r="C115" s="24" t="str">
        <f ca="1">IFERROR(__xludf.DUMMYFUNCTION("""COMPUTED_VALUE"""),"Intl")</f>
        <v>Intl</v>
      </c>
      <c r="D115" s="24">
        <f ca="1">IFERROR(__xludf.DUMMYFUNCTION("""COMPUTED_VALUE"""),590.2)</f>
        <v>590.20000000000005</v>
      </c>
    </row>
    <row r="116" spans="1:4" ht="16">
      <c r="A116" s="25" t="str">
        <f ca="1">IFERROR(__xludf.DUMMYFUNCTION("""COMPUTED_VALUE"""),"iPhone 16 256G")</f>
        <v>iPhone 16 256G</v>
      </c>
      <c r="B116" s="24" t="str">
        <f ca="1">IFERROR(__xludf.DUMMYFUNCTION("""COMPUTED_VALUE"""),"B")</f>
        <v>B</v>
      </c>
      <c r="C116" s="24" t="str">
        <f ca="1">IFERROR(__xludf.DUMMYFUNCTION("""COMPUTED_VALUE"""),"Intl")</f>
        <v>Intl</v>
      </c>
      <c r="D116" s="24">
        <f ca="1">IFERROR(__xludf.DUMMYFUNCTION("""COMPUTED_VALUE"""),657.8)</f>
        <v>657.8</v>
      </c>
    </row>
    <row r="117" spans="1:4" ht="16">
      <c r="A117" s="25" t="str">
        <f ca="1">IFERROR(__xludf.DUMMYFUNCTION("""COMPUTED_VALUE"""),"iPhone 16 256G")</f>
        <v>iPhone 16 256G</v>
      </c>
      <c r="B117" s="24" t="str">
        <f ca="1">IFERROR(__xludf.DUMMYFUNCTION("""COMPUTED_VALUE"""),"C")</f>
        <v>C</v>
      </c>
      <c r="C117" s="24" t="str">
        <f ca="1">IFERROR(__xludf.DUMMYFUNCTION("""COMPUTED_VALUE"""),"Intl")</f>
        <v>Intl</v>
      </c>
      <c r="D117" s="24">
        <f ca="1">IFERROR(__xludf.DUMMYFUNCTION("""COMPUTED_VALUE"""),646.36)</f>
        <v>646.36</v>
      </c>
    </row>
    <row r="118" spans="1:4" ht="16">
      <c r="A118" s="25" t="str">
        <f ca="1">IFERROR(__xludf.DUMMYFUNCTION("""COMPUTED_VALUE"""),"iPhone 16 Plus 128G")</f>
        <v>iPhone 16 Plus 128G</v>
      </c>
      <c r="B118" s="24" t="str">
        <f ca="1">IFERROR(__xludf.DUMMYFUNCTION("""COMPUTED_VALUE"""),"B")</f>
        <v>B</v>
      </c>
      <c r="C118" s="24" t="str">
        <f ca="1">IFERROR(__xludf.DUMMYFUNCTION("""COMPUTED_VALUE"""),"Intl")</f>
        <v>Intl</v>
      </c>
      <c r="D118" s="24">
        <f ca="1">IFERROR(__xludf.DUMMYFUNCTION("""COMPUTED_VALUE"""),651.56)</f>
        <v>651.55999999999995</v>
      </c>
    </row>
    <row r="119" spans="1:4" ht="16">
      <c r="A119" s="25" t="str">
        <f ca="1">IFERROR(__xludf.DUMMYFUNCTION("""COMPUTED_VALUE"""),"iPhone 16 Plus 128G")</f>
        <v>iPhone 16 Plus 128G</v>
      </c>
      <c r="B119" s="24" t="str">
        <f ca="1">IFERROR(__xludf.DUMMYFUNCTION("""COMPUTED_VALUE"""),"C")</f>
        <v>C</v>
      </c>
      <c r="C119" s="24" t="str">
        <f ca="1">IFERROR(__xludf.DUMMYFUNCTION("""COMPUTED_VALUE"""),"Intl")</f>
        <v>Intl</v>
      </c>
      <c r="D119" s="24">
        <f ca="1">IFERROR(__xludf.DUMMYFUNCTION("""COMPUTED_VALUE"""),641.16)</f>
        <v>641.16</v>
      </c>
    </row>
    <row r="120" spans="1:4" ht="16">
      <c r="A120" s="25" t="str">
        <f ca="1">IFERROR(__xludf.DUMMYFUNCTION("""COMPUTED_VALUE"""),"iPhone 16 Plus 256G")</f>
        <v>iPhone 16 Plus 256G</v>
      </c>
      <c r="B120" s="24" t="str">
        <f ca="1">IFERROR(__xludf.DUMMYFUNCTION("""COMPUTED_VALUE"""),"B")</f>
        <v>B</v>
      </c>
      <c r="C120" s="24" t="str">
        <f ca="1">IFERROR(__xludf.DUMMYFUNCTION("""COMPUTED_VALUE"""),"Intl")</f>
        <v>Intl</v>
      </c>
      <c r="D120" s="24">
        <f ca="1">IFERROR(__xludf.DUMMYFUNCTION("""COMPUTED_VALUE"""),682.76)</f>
        <v>682.76</v>
      </c>
    </row>
    <row r="121" spans="1:4" ht="16">
      <c r="A121" s="25" t="str">
        <f ca="1">IFERROR(__xludf.DUMMYFUNCTION("""COMPUTED_VALUE"""),"iPhone 16 Pro 128G")</f>
        <v>iPhone 16 Pro 128G</v>
      </c>
      <c r="B121" s="24" t="str">
        <f ca="1">IFERROR(__xludf.DUMMYFUNCTION("""COMPUTED_VALUE"""),"B")</f>
        <v>B</v>
      </c>
      <c r="C121" s="24" t="str">
        <f ca="1">IFERROR(__xludf.DUMMYFUNCTION("""COMPUTED_VALUE"""),"Intl")</f>
        <v>Intl</v>
      </c>
      <c r="D121" s="24">
        <f ca="1">IFERROR(__xludf.DUMMYFUNCTION("""COMPUTED_VALUE"""),793)</f>
        <v>793</v>
      </c>
    </row>
    <row r="122" spans="1:4" ht="16">
      <c r="A122" s="25" t="str">
        <f ca="1">IFERROR(__xludf.DUMMYFUNCTION("""COMPUTED_VALUE"""),"iPhone 16 Pro 128G")</f>
        <v>iPhone 16 Pro 128G</v>
      </c>
      <c r="B122" s="24" t="str">
        <f ca="1">IFERROR(__xludf.DUMMYFUNCTION("""COMPUTED_VALUE"""),"C")</f>
        <v>C</v>
      </c>
      <c r="C122" s="24" t="str">
        <f ca="1">IFERROR(__xludf.DUMMYFUNCTION("""COMPUTED_VALUE"""),"Intl")</f>
        <v>Intl</v>
      </c>
      <c r="D122" s="24">
        <f ca="1">IFERROR(__xludf.DUMMYFUNCTION("""COMPUTED_VALUE"""),765.96)</f>
        <v>765.96</v>
      </c>
    </row>
    <row r="123" spans="1:4" ht="16">
      <c r="A123" s="25" t="str">
        <f ca="1">IFERROR(__xludf.DUMMYFUNCTION("""COMPUTED_VALUE"""),"iPhone 16 Pro 256G")</f>
        <v>iPhone 16 Pro 256G</v>
      </c>
      <c r="B123" s="24" t="str">
        <f ca="1">IFERROR(__xludf.DUMMYFUNCTION("""COMPUTED_VALUE"""),"B")</f>
        <v>B</v>
      </c>
      <c r="C123" s="24" t="str">
        <f ca="1">IFERROR(__xludf.DUMMYFUNCTION("""COMPUTED_VALUE"""),"Intl")</f>
        <v>Intl</v>
      </c>
      <c r="D123" s="24">
        <f ca="1">IFERROR(__xludf.DUMMYFUNCTION("""COMPUTED_VALUE"""),835.12)</f>
        <v>835.12</v>
      </c>
    </row>
    <row r="124" spans="1:4" ht="16">
      <c r="A124" s="25" t="str">
        <f ca="1">IFERROR(__xludf.DUMMYFUNCTION("""COMPUTED_VALUE"""),"iPhone 16 Pro 256G")</f>
        <v>iPhone 16 Pro 256G</v>
      </c>
      <c r="B124" s="24" t="str">
        <f ca="1">IFERROR(__xludf.DUMMYFUNCTION("""COMPUTED_VALUE"""),"C")</f>
        <v>C</v>
      </c>
      <c r="C124" s="24" t="str">
        <f ca="1">IFERROR(__xludf.DUMMYFUNCTION("""COMPUTED_VALUE"""),"Intl")</f>
        <v>Intl</v>
      </c>
      <c r="D124" s="24">
        <f ca="1">IFERROR(__xludf.DUMMYFUNCTION("""COMPUTED_VALUE"""),815.88)</f>
        <v>815.88</v>
      </c>
    </row>
    <row r="125" spans="1:4" ht="16">
      <c r="A125" s="25" t="str">
        <f ca="1">IFERROR(__xludf.DUMMYFUNCTION("""COMPUTED_VALUE"""),"iPhone 16 Pro Max 1T")</f>
        <v>iPhone 16 Pro Max 1T</v>
      </c>
      <c r="B125" s="24" t="str">
        <f ca="1">IFERROR(__xludf.DUMMYFUNCTION("""COMPUTED_VALUE"""),"B")</f>
        <v>B</v>
      </c>
      <c r="C125" s="24" t="str">
        <f ca="1">IFERROR(__xludf.DUMMYFUNCTION("""COMPUTED_VALUE"""),"Intl")</f>
        <v>Intl</v>
      </c>
      <c r="D125" s="24">
        <f ca="1">IFERROR(__xludf.DUMMYFUNCTION("""COMPUTED_VALUE"""),1148.68)</f>
        <v>1148.68</v>
      </c>
    </row>
    <row r="126" spans="1:4" ht="16">
      <c r="A126" s="25" t="str">
        <f ca="1">IFERROR(__xludf.DUMMYFUNCTION("""COMPUTED_VALUE"""),"iPhone 16 Pro Max 256G")</f>
        <v>iPhone 16 Pro Max 256G</v>
      </c>
      <c r="B126" s="24" t="str">
        <f ca="1">IFERROR(__xludf.DUMMYFUNCTION("""COMPUTED_VALUE"""),"B")</f>
        <v>B</v>
      </c>
      <c r="C126" s="24" t="str">
        <f ca="1">IFERROR(__xludf.DUMMYFUNCTION("""COMPUTED_VALUE"""),"Intl")</f>
        <v>Intl</v>
      </c>
      <c r="D126" s="24">
        <f ca="1">IFERROR(__xludf.DUMMYFUNCTION("""COMPUTED_VALUE"""),1016.6)</f>
        <v>1016.6</v>
      </c>
    </row>
    <row r="127" spans="1:4" ht="16">
      <c r="A127" s="25" t="str">
        <f ca="1">IFERROR(__xludf.DUMMYFUNCTION("""COMPUTED_VALUE"""),"iPhone 16 Pro Max 256G")</f>
        <v>iPhone 16 Pro Max 256G</v>
      </c>
      <c r="B127" s="24" t="str">
        <f ca="1">IFERROR(__xludf.DUMMYFUNCTION("""COMPUTED_VALUE"""),"C")</f>
        <v>C</v>
      </c>
      <c r="C127" s="24" t="str">
        <f ca="1">IFERROR(__xludf.DUMMYFUNCTION("""COMPUTED_VALUE"""),"Intl")</f>
        <v>Intl</v>
      </c>
      <c r="D127" s="24">
        <f ca="1">IFERROR(__xludf.DUMMYFUNCTION("""COMPUTED_VALUE"""),1015.56)</f>
        <v>1015.56</v>
      </c>
    </row>
    <row r="128" spans="1:4" ht="16">
      <c r="A128" s="25" t="str">
        <f ca="1">IFERROR(__xludf.DUMMYFUNCTION("""COMPUTED_VALUE"""),"iPhone 6 Plus 64G")</f>
        <v>iPhone 6 Plus 64G</v>
      </c>
      <c r="B128" s="24" t="str">
        <f ca="1">IFERROR(__xludf.DUMMYFUNCTION("""COMPUTED_VALUE"""),"C")</f>
        <v>C</v>
      </c>
      <c r="C128" s="24" t="str">
        <f ca="1">IFERROR(__xludf.DUMMYFUNCTION("""COMPUTED_VALUE"""),"Intl")</f>
        <v>Intl</v>
      </c>
      <c r="D128" s="24">
        <f ca="1">IFERROR(__xludf.DUMMYFUNCTION("""COMPUTED_VALUE"""),28.5)</f>
        <v>28.5</v>
      </c>
    </row>
    <row r="129" spans="1:4" ht="16">
      <c r="A129" s="25" t="str">
        <f ca="1">IFERROR(__xludf.DUMMYFUNCTION("""COMPUTED_VALUE"""),"iPhone 6S 32G")</f>
        <v>iPhone 6S 32G</v>
      </c>
      <c r="B129" s="24" t="str">
        <f ca="1">IFERROR(__xludf.DUMMYFUNCTION("""COMPUTED_VALUE"""),"C")</f>
        <v>C</v>
      </c>
      <c r="C129" s="24" t="str">
        <f ca="1">IFERROR(__xludf.DUMMYFUNCTION("""COMPUTED_VALUE"""),"Intl")</f>
        <v>Intl</v>
      </c>
      <c r="D129" s="24">
        <f ca="1">IFERROR(__xludf.DUMMYFUNCTION("""COMPUTED_VALUE"""),42.5)</f>
        <v>42.5</v>
      </c>
    </row>
    <row r="130" spans="1:4" ht="16">
      <c r="A130" s="25" t="str">
        <f ca="1">IFERROR(__xludf.DUMMYFUNCTION("""COMPUTED_VALUE"""),"iPhone 7 128G")</f>
        <v>iPhone 7 128G</v>
      </c>
      <c r="B130" s="24" t="str">
        <f ca="1">IFERROR(__xludf.DUMMYFUNCTION("""COMPUTED_VALUE"""),"C")</f>
        <v>C</v>
      </c>
      <c r="C130" s="24" t="str">
        <f ca="1">IFERROR(__xludf.DUMMYFUNCTION("""COMPUTED_VALUE"""),"Intl")</f>
        <v>Intl</v>
      </c>
      <c r="D130" s="24">
        <f ca="1">IFERROR(__xludf.DUMMYFUNCTION("""COMPUTED_VALUE"""),55)</f>
        <v>55</v>
      </c>
    </row>
    <row r="131" spans="1:4" ht="16">
      <c r="A131" s="25" t="str">
        <f ca="1">IFERROR(__xludf.DUMMYFUNCTION("""COMPUTED_VALUE"""),"iPhone 7 256G")</f>
        <v>iPhone 7 256G</v>
      </c>
      <c r="B131" s="24" t="str">
        <f ca="1">IFERROR(__xludf.DUMMYFUNCTION("""COMPUTED_VALUE"""),"C")</f>
        <v>C</v>
      </c>
      <c r="C131" s="24" t="str">
        <f ca="1">IFERROR(__xludf.DUMMYFUNCTION("""COMPUTED_VALUE"""),"Intl")</f>
        <v>Intl</v>
      </c>
      <c r="D131" s="24">
        <f ca="1">IFERROR(__xludf.DUMMYFUNCTION("""COMPUTED_VALUE"""),55)</f>
        <v>55</v>
      </c>
    </row>
    <row r="132" spans="1:4" ht="16">
      <c r="A132" s="25" t="str">
        <f ca="1">IFERROR(__xludf.DUMMYFUNCTION("""COMPUTED_VALUE"""),"iPhone 7 32G")</f>
        <v>iPhone 7 32G</v>
      </c>
      <c r="B132" s="24" t="str">
        <f ca="1">IFERROR(__xludf.DUMMYFUNCTION("""COMPUTED_VALUE"""),"C")</f>
        <v>C</v>
      </c>
      <c r="C132" s="24" t="str">
        <f ca="1">IFERROR(__xludf.DUMMYFUNCTION("""COMPUTED_VALUE"""),"Intl")</f>
        <v>Intl</v>
      </c>
      <c r="D132" s="24">
        <f ca="1">IFERROR(__xludf.DUMMYFUNCTION("""COMPUTED_VALUE"""),52)</f>
        <v>52</v>
      </c>
    </row>
    <row r="133" spans="1:4" ht="16">
      <c r="A133" s="25" t="str">
        <f ca="1">IFERROR(__xludf.DUMMYFUNCTION("""COMPUTED_VALUE"""),"iPhone 7 Plus 128G")</f>
        <v>iPhone 7 Plus 128G</v>
      </c>
      <c r="B133" s="24" t="str">
        <f ca="1">IFERROR(__xludf.DUMMYFUNCTION("""COMPUTED_VALUE"""),"C")</f>
        <v>C</v>
      </c>
      <c r="C133" s="24" t="str">
        <f ca="1">IFERROR(__xludf.DUMMYFUNCTION("""COMPUTED_VALUE"""),"Intl")</f>
        <v>Intl</v>
      </c>
      <c r="D133" s="24">
        <f ca="1">IFERROR(__xludf.DUMMYFUNCTION("""COMPUTED_VALUE"""),77.5)</f>
        <v>77.5</v>
      </c>
    </row>
    <row r="134" spans="1:4" ht="16">
      <c r="A134" s="25" t="str">
        <f ca="1">IFERROR(__xludf.DUMMYFUNCTION("""COMPUTED_VALUE"""),"iPhone 7 Plus 256G")</f>
        <v>iPhone 7 Plus 256G</v>
      </c>
      <c r="B134" s="24" t="str">
        <f ca="1">IFERROR(__xludf.DUMMYFUNCTION("""COMPUTED_VALUE"""),"C")</f>
        <v>C</v>
      </c>
      <c r="C134" s="24" t="str">
        <f ca="1">IFERROR(__xludf.DUMMYFUNCTION("""COMPUTED_VALUE"""),"Intl")</f>
        <v>Intl</v>
      </c>
      <c r="D134" s="24">
        <f ca="1">IFERROR(__xludf.DUMMYFUNCTION("""COMPUTED_VALUE"""),79)</f>
        <v>79</v>
      </c>
    </row>
    <row r="135" spans="1:4" ht="16">
      <c r="A135" s="25" t="str">
        <f ca="1">IFERROR(__xludf.DUMMYFUNCTION("""COMPUTED_VALUE"""),"iPhone 7 Plus 32G")</f>
        <v>iPhone 7 Plus 32G</v>
      </c>
      <c r="B135" s="24" t="str">
        <f ca="1">IFERROR(__xludf.DUMMYFUNCTION("""COMPUTED_VALUE"""),"C")</f>
        <v>C</v>
      </c>
      <c r="C135" s="24" t="str">
        <f ca="1">IFERROR(__xludf.DUMMYFUNCTION("""COMPUTED_VALUE"""),"Intl")</f>
        <v>Intl</v>
      </c>
      <c r="D135" s="24">
        <f ca="1">IFERROR(__xludf.DUMMYFUNCTION("""COMPUTED_VALUE"""),67.5)</f>
        <v>67.5</v>
      </c>
    </row>
    <row r="136" spans="1:4" ht="16">
      <c r="A136" s="25" t="str">
        <f ca="1">IFERROR(__xludf.DUMMYFUNCTION("""COMPUTED_VALUE"""),"iPhone 8 128G")</f>
        <v>iPhone 8 128G</v>
      </c>
      <c r="B136" s="24" t="str">
        <f ca="1">IFERROR(__xludf.DUMMYFUNCTION("""COMPUTED_VALUE"""),"C")</f>
        <v>C</v>
      </c>
      <c r="C136" s="24" t="str">
        <f ca="1">IFERROR(__xludf.DUMMYFUNCTION("""COMPUTED_VALUE"""),"Intl")</f>
        <v>Intl</v>
      </c>
      <c r="D136" s="24">
        <f ca="1">IFERROR(__xludf.DUMMYFUNCTION("""COMPUTED_VALUE"""),93.25)</f>
        <v>93.25</v>
      </c>
    </row>
    <row r="137" spans="1:4" ht="16">
      <c r="A137" s="25" t="str">
        <f ca="1">IFERROR(__xludf.DUMMYFUNCTION("""COMPUTED_VALUE"""),"iPhone 8 256G")</f>
        <v>iPhone 8 256G</v>
      </c>
      <c r="B137" s="24" t="str">
        <f ca="1">IFERROR(__xludf.DUMMYFUNCTION("""COMPUTED_VALUE"""),"C")</f>
        <v>C</v>
      </c>
      <c r="C137" s="24" t="str">
        <f ca="1">IFERROR(__xludf.DUMMYFUNCTION("""COMPUTED_VALUE"""),"Intl")</f>
        <v>Intl</v>
      </c>
      <c r="D137" s="24">
        <f ca="1">IFERROR(__xludf.DUMMYFUNCTION("""COMPUTED_VALUE"""),93.1666666666666)</f>
        <v>93.1666666666666</v>
      </c>
    </row>
    <row r="138" spans="1:4" ht="16">
      <c r="A138" s="25" t="str">
        <f ca="1">IFERROR(__xludf.DUMMYFUNCTION("""COMPUTED_VALUE"""),"iPhone 8 64G")</f>
        <v>iPhone 8 64G</v>
      </c>
      <c r="B138" s="24" t="str">
        <f ca="1">IFERROR(__xludf.DUMMYFUNCTION("""COMPUTED_VALUE"""),"C")</f>
        <v>C</v>
      </c>
      <c r="C138" s="24" t="str">
        <f ca="1">IFERROR(__xludf.DUMMYFUNCTION("""COMPUTED_VALUE"""),"Intl")</f>
        <v>Intl</v>
      </c>
      <c r="D138" s="24">
        <f ca="1">IFERROR(__xludf.DUMMYFUNCTION("""COMPUTED_VALUE"""),89.25)</f>
        <v>89.25</v>
      </c>
    </row>
    <row r="139" spans="1:4" ht="16">
      <c r="A139" s="25" t="str">
        <f ca="1">IFERROR(__xludf.DUMMYFUNCTION("""COMPUTED_VALUE"""),"iPhone 8 Plus 128G")</f>
        <v>iPhone 8 Plus 128G</v>
      </c>
      <c r="B139" s="24" t="str">
        <f ca="1">IFERROR(__xludf.DUMMYFUNCTION("""COMPUTED_VALUE"""),"C")</f>
        <v>C</v>
      </c>
      <c r="C139" s="24" t="str">
        <f ca="1">IFERROR(__xludf.DUMMYFUNCTION("""COMPUTED_VALUE"""),"Intl")</f>
        <v>Intl</v>
      </c>
      <c r="D139" s="24">
        <f ca="1">IFERROR(__xludf.DUMMYFUNCTION("""COMPUTED_VALUE"""),108.5)</f>
        <v>108.5</v>
      </c>
    </row>
    <row r="140" spans="1:4" ht="16">
      <c r="A140" s="25" t="str">
        <f ca="1">IFERROR(__xludf.DUMMYFUNCTION("""COMPUTED_VALUE"""),"iPhone 8 Plus 256G")</f>
        <v>iPhone 8 Plus 256G</v>
      </c>
      <c r="B140" s="24" t="str">
        <f ca="1">IFERROR(__xludf.DUMMYFUNCTION("""COMPUTED_VALUE"""),"C")</f>
        <v>C</v>
      </c>
      <c r="C140" s="24" t="str">
        <f ca="1">IFERROR(__xludf.DUMMYFUNCTION("""COMPUTED_VALUE"""),"Intl")</f>
        <v>Intl</v>
      </c>
      <c r="D140" s="24">
        <f ca="1">IFERROR(__xludf.DUMMYFUNCTION("""COMPUTED_VALUE"""),105.5)</f>
        <v>105.5</v>
      </c>
    </row>
    <row r="141" spans="1:4" ht="16">
      <c r="A141" s="25" t="str">
        <f ca="1">IFERROR(__xludf.DUMMYFUNCTION("""COMPUTED_VALUE"""),"iPhone 8 Plus 64G")</f>
        <v>iPhone 8 Plus 64G</v>
      </c>
      <c r="B141" s="24" t="str">
        <f ca="1">IFERROR(__xludf.DUMMYFUNCTION("""COMPUTED_VALUE"""),"C")</f>
        <v>C</v>
      </c>
      <c r="C141" s="24" t="str">
        <f ca="1">IFERROR(__xludf.DUMMYFUNCTION("""COMPUTED_VALUE"""),"Intl")</f>
        <v>Intl</v>
      </c>
      <c r="D141" s="24">
        <f ca="1">IFERROR(__xludf.DUMMYFUNCTION("""COMPUTED_VALUE"""),97.375)</f>
        <v>97.375</v>
      </c>
    </row>
    <row r="142" spans="1:4" ht="16">
      <c r="A142" s="25" t="str">
        <f ca="1">IFERROR(__xludf.DUMMYFUNCTION("""COMPUTED_VALUE"""),"iPhone SE 2 128G")</f>
        <v>iPhone SE 2 128G</v>
      </c>
      <c r="B142" s="24" t="str">
        <f ca="1">IFERROR(__xludf.DUMMYFUNCTION("""COMPUTED_VALUE"""),"B")</f>
        <v>B</v>
      </c>
      <c r="C142" s="24" t="str">
        <f ca="1">IFERROR(__xludf.DUMMYFUNCTION("""COMPUTED_VALUE"""),"Intl")</f>
        <v>Intl</v>
      </c>
      <c r="D142" s="24">
        <f ca="1">IFERROR(__xludf.DUMMYFUNCTION("""COMPUTED_VALUE"""),106.5)</f>
        <v>106.5</v>
      </c>
    </row>
    <row r="143" spans="1:4" ht="16">
      <c r="A143" s="25" t="str">
        <f ca="1">IFERROR(__xludf.DUMMYFUNCTION("""COMPUTED_VALUE"""),"iPhone SE 2 128G")</f>
        <v>iPhone SE 2 128G</v>
      </c>
      <c r="B143" s="24" t="str">
        <f ca="1">IFERROR(__xludf.DUMMYFUNCTION("""COMPUTED_VALUE"""),"C")</f>
        <v>C</v>
      </c>
      <c r="C143" s="24" t="str">
        <f ca="1">IFERROR(__xludf.DUMMYFUNCTION("""COMPUTED_VALUE"""),"Intl")</f>
        <v>Intl</v>
      </c>
      <c r="D143" s="24">
        <f ca="1">IFERROR(__xludf.DUMMYFUNCTION("""COMPUTED_VALUE"""),103.5)</f>
        <v>103.5</v>
      </c>
    </row>
    <row r="144" spans="1:4" ht="16">
      <c r="A144" s="25" t="str">
        <f ca="1">IFERROR(__xludf.DUMMYFUNCTION("""COMPUTED_VALUE"""),"iPhone SE 2 64G")</f>
        <v>iPhone SE 2 64G</v>
      </c>
      <c r="B144" s="24" t="str">
        <f ca="1">IFERROR(__xludf.DUMMYFUNCTION("""COMPUTED_VALUE"""),"B")</f>
        <v>B</v>
      </c>
      <c r="C144" s="24" t="str">
        <f ca="1">IFERROR(__xludf.DUMMYFUNCTION("""COMPUTED_VALUE"""),"Intl")</f>
        <v>Intl</v>
      </c>
      <c r="D144" s="24">
        <f ca="1">IFERROR(__xludf.DUMMYFUNCTION("""COMPUTED_VALUE"""),96)</f>
        <v>96</v>
      </c>
    </row>
    <row r="145" spans="1:4" ht="16">
      <c r="A145" s="25" t="str">
        <f ca="1">IFERROR(__xludf.DUMMYFUNCTION("""COMPUTED_VALUE"""),"iPhone SE 2 64G")</f>
        <v>iPhone SE 2 64G</v>
      </c>
      <c r="B145" s="24" t="str">
        <f ca="1">IFERROR(__xludf.DUMMYFUNCTION("""COMPUTED_VALUE"""),"C")</f>
        <v>C</v>
      </c>
      <c r="C145" s="24" t="str">
        <f ca="1">IFERROR(__xludf.DUMMYFUNCTION("""COMPUTED_VALUE"""),"Intl")</f>
        <v>Intl</v>
      </c>
      <c r="D145" s="24">
        <f ca="1">IFERROR(__xludf.DUMMYFUNCTION("""COMPUTED_VALUE"""),95)</f>
        <v>95</v>
      </c>
    </row>
    <row r="146" spans="1:4" ht="16">
      <c r="A146" s="25" t="str">
        <f ca="1">IFERROR(__xludf.DUMMYFUNCTION("""COMPUTED_VALUE"""),"iPhone SE 3 128G")</f>
        <v>iPhone SE 3 128G</v>
      </c>
      <c r="B146" s="24" t="str">
        <f ca="1">IFERROR(__xludf.DUMMYFUNCTION("""COMPUTED_VALUE"""),"A")</f>
        <v>A</v>
      </c>
      <c r="C146" s="24" t="str">
        <f ca="1">IFERROR(__xludf.DUMMYFUNCTION("""COMPUTED_VALUE"""),"Intl")</f>
        <v>Intl</v>
      </c>
      <c r="D146" s="24">
        <f ca="1">IFERROR(__xludf.DUMMYFUNCTION("""COMPUTED_VALUE"""),169.5)</f>
        <v>169.5</v>
      </c>
    </row>
    <row r="147" spans="1:4" ht="16">
      <c r="A147" s="25" t="str">
        <f ca="1">IFERROR(__xludf.DUMMYFUNCTION("""COMPUTED_VALUE"""),"iPhone SE 3 128G")</f>
        <v>iPhone SE 3 128G</v>
      </c>
      <c r="B147" s="24" t="str">
        <f ca="1">IFERROR(__xludf.DUMMYFUNCTION("""COMPUTED_VALUE"""),"A+")</f>
        <v>A+</v>
      </c>
      <c r="C147" s="24" t="str">
        <f ca="1">IFERROR(__xludf.DUMMYFUNCTION("""COMPUTED_VALUE"""),"Intl")</f>
        <v>Intl</v>
      </c>
      <c r="D147" s="24">
        <f ca="1">IFERROR(__xludf.DUMMYFUNCTION("""COMPUTED_VALUE"""),178.5)</f>
        <v>178.5</v>
      </c>
    </row>
    <row r="148" spans="1:4" ht="16">
      <c r="A148" s="25" t="str">
        <f ca="1">IFERROR(__xludf.DUMMYFUNCTION("""COMPUTED_VALUE"""),"iPhone SE 3 128G")</f>
        <v>iPhone SE 3 128G</v>
      </c>
      <c r="B148" s="24" t="str">
        <f ca="1">IFERROR(__xludf.DUMMYFUNCTION("""COMPUTED_VALUE"""),"B")</f>
        <v>B</v>
      </c>
      <c r="C148" s="24" t="str">
        <f ca="1">IFERROR(__xludf.DUMMYFUNCTION("""COMPUTED_VALUE"""),"Intl")</f>
        <v>Intl</v>
      </c>
      <c r="D148" s="24">
        <f ca="1">IFERROR(__xludf.DUMMYFUNCTION("""COMPUTED_VALUE"""),158)</f>
        <v>158</v>
      </c>
    </row>
    <row r="149" spans="1:4" ht="16">
      <c r="A149" s="25" t="str">
        <f ca="1">IFERROR(__xludf.DUMMYFUNCTION("""COMPUTED_VALUE"""),"iPhone SE 3 128G")</f>
        <v>iPhone SE 3 128G</v>
      </c>
      <c r="B149" s="24" t="str">
        <f ca="1">IFERROR(__xludf.DUMMYFUNCTION("""COMPUTED_VALUE"""),"C")</f>
        <v>C</v>
      </c>
      <c r="C149" s="24" t="str">
        <f ca="1">IFERROR(__xludf.DUMMYFUNCTION("""COMPUTED_VALUE"""),"Intl")</f>
        <v>Intl</v>
      </c>
      <c r="D149" s="24">
        <f ca="1">IFERROR(__xludf.DUMMYFUNCTION("""COMPUTED_VALUE"""),128)</f>
        <v>128</v>
      </c>
    </row>
    <row r="150" spans="1:4" ht="16">
      <c r="A150" s="25" t="str">
        <f ca="1">IFERROR(__xludf.DUMMYFUNCTION("""COMPUTED_VALUE"""),"iPhone SE 3 64G")</f>
        <v>iPhone SE 3 64G</v>
      </c>
      <c r="B150" s="24" t="str">
        <f ca="1">IFERROR(__xludf.DUMMYFUNCTION("""COMPUTED_VALUE"""),"B")</f>
        <v>B</v>
      </c>
      <c r="C150" s="24" t="str">
        <f ca="1">IFERROR(__xludf.DUMMYFUNCTION("""COMPUTED_VALUE"""),"Intl")</f>
        <v>Intl</v>
      </c>
      <c r="D150" s="24">
        <f ca="1">IFERROR(__xludf.DUMMYFUNCTION("""COMPUTED_VALUE"""),132.25)</f>
        <v>132.25</v>
      </c>
    </row>
    <row r="151" spans="1:4" ht="16">
      <c r="A151" s="25" t="str">
        <f ca="1">IFERROR(__xludf.DUMMYFUNCTION("""COMPUTED_VALUE"""),"iPhone SE 3 64G")</f>
        <v>iPhone SE 3 64G</v>
      </c>
      <c r="B151" s="24" t="str">
        <f ca="1">IFERROR(__xludf.DUMMYFUNCTION("""COMPUTED_VALUE"""),"C")</f>
        <v>C</v>
      </c>
      <c r="C151" s="24" t="str">
        <f ca="1">IFERROR(__xludf.DUMMYFUNCTION("""COMPUTED_VALUE"""),"Intl")</f>
        <v>Intl</v>
      </c>
      <c r="D151" s="24">
        <f ca="1">IFERROR(__xludf.DUMMYFUNCTION("""COMPUTED_VALUE"""),124)</f>
        <v>124</v>
      </c>
    </row>
    <row r="152" spans="1:4" ht="16">
      <c r="A152" s="25" t="str">
        <f ca="1">IFERROR(__xludf.DUMMYFUNCTION("""COMPUTED_VALUE"""),"iPhone X 256G")</f>
        <v>iPhone X 256G</v>
      </c>
      <c r="B152" s="24" t="str">
        <f ca="1">IFERROR(__xludf.DUMMYFUNCTION("""COMPUTED_VALUE"""),"C")</f>
        <v>C</v>
      </c>
      <c r="C152" s="24" t="str">
        <f ca="1">IFERROR(__xludf.DUMMYFUNCTION("""COMPUTED_VALUE"""),"Intl")</f>
        <v>Intl</v>
      </c>
      <c r="D152" s="24">
        <f ca="1">IFERROR(__xludf.DUMMYFUNCTION("""COMPUTED_VALUE"""),127.5)</f>
        <v>127.5</v>
      </c>
    </row>
    <row r="153" spans="1:4" ht="16">
      <c r="A153" s="25" t="str">
        <f ca="1">IFERROR(__xludf.DUMMYFUNCTION("""COMPUTED_VALUE"""),"iPhone X 64G")</f>
        <v>iPhone X 64G</v>
      </c>
      <c r="B153" s="24" t="str">
        <f ca="1">IFERROR(__xludf.DUMMYFUNCTION("""COMPUTED_VALUE"""),"C")</f>
        <v>C</v>
      </c>
      <c r="C153" s="24" t="str">
        <f ca="1">IFERROR(__xludf.DUMMYFUNCTION("""COMPUTED_VALUE"""),"Intl")</f>
        <v>Intl</v>
      </c>
      <c r="D153" s="24">
        <f ca="1">IFERROR(__xludf.DUMMYFUNCTION("""COMPUTED_VALUE"""),120.5)</f>
        <v>120.5</v>
      </c>
    </row>
    <row r="154" spans="1:4" ht="16">
      <c r="A154" s="25" t="str">
        <f ca="1">IFERROR(__xludf.DUMMYFUNCTION("""COMPUTED_VALUE"""),"iPhone XR 128G")</f>
        <v>iPhone XR 128G</v>
      </c>
      <c r="B154" s="24" t="str">
        <f ca="1">IFERROR(__xludf.DUMMYFUNCTION("""COMPUTED_VALUE"""),"C")</f>
        <v>C</v>
      </c>
      <c r="C154" s="24" t="str">
        <f ca="1">IFERROR(__xludf.DUMMYFUNCTION("""COMPUTED_VALUE"""),"Intl")</f>
        <v>Intl</v>
      </c>
      <c r="D154" s="24">
        <f ca="1">IFERROR(__xludf.DUMMYFUNCTION("""COMPUTED_VALUE"""),149.75)</f>
        <v>149.75</v>
      </c>
    </row>
    <row r="155" spans="1:4" ht="16">
      <c r="A155" s="25" t="str">
        <f ca="1">IFERROR(__xludf.DUMMYFUNCTION("""COMPUTED_VALUE"""),"iPhone XR 256G")</f>
        <v>iPhone XR 256G</v>
      </c>
      <c r="B155" s="24" t="str">
        <f ca="1">IFERROR(__xludf.DUMMYFUNCTION("""COMPUTED_VALUE"""),"C")</f>
        <v>C</v>
      </c>
      <c r="C155" s="24" t="str">
        <f ca="1">IFERROR(__xludf.DUMMYFUNCTION("""COMPUTED_VALUE"""),"Intl")</f>
        <v>Intl</v>
      </c>
      <c r="D155" s="24">
        <f ca="1">IFERROR(__xludf.DUMMYFUNCTION("""COMPUTED_VALUE"""),154.75)</f>
        <v>154.75</v>
      </c>
    </row>
    <row r="156" spans="1:4" ht="16">
      <c r="A156" s="25" t="str">
        <f ca="1">IFERROR(__xludf.DUMMYFUNCTION("""COMPUTED_VALUE"""),"iPhone XR 64G")</f>
        <v>iPhone XR 64G</v>
      </c>
      <c r="B156" s="24" t="str">
        <f ca="1">IFERROR(__xludf.DUMMYFUNCTION("""COMPUTED_VALUE"""),"C")</f>
        <v>C</v>
      </c>
      <c r="C156" s="24" t="str">
        <f ca="1">IFERROR(__xludf.DUMMYFUNCTION("""COMPUTED_VALUE"""),"Intl")</f>
        <v>Intl</v>
      </c>
      <c r="D156" s="24">
        <f ca="1">IFERROR(__xludf.DUMMYFUNCTION("""COMPUTED_VALUE"""),113.5)</f>
        <v>113.5</v>
      </c>
    </row>
    <row r="157" spans="1:4" ht="16">
      <c r="A157" s="25" t="str">
        <f ca="1">IFERROR(__xludf.DUMMYFUNCTION("""COMPUTED_VALUE"""),"iPhone XS 256G")</f>
        <v>iPhone XS 256G</v>
      </c>
      <c r="B157" s="24" t="str">
        <f ca="1">IFERROR(__xludf.DUMMYFUNCTION("""COMPUTED_VALUE"""),"C")</f>
        <v>C</v>
      </c>
      <c r="C157" s="24" t="str">
        <f ca="1">IFERROR(__xludf.DUMMYFUNCTION("""COMPUTED_VALUE"""),"Intl")</f>
        <v>Intl</v>
      </c>
      <c r="D157" s="24">
        <f ca="1">IFERROR(__xludf.DUMMYFUNCTION("""COMPUTED_VALUE"""),134.5)</f>
        <v>134.5</v>
      </c>
    </row>
    <row r="158" spans="1:4" ht="13">
      <c r="A158" s="21"/>
      <c r="B158" s="21"/>
      <c r="C158" s="21"/>
      <c r="D158" s="21"/>
    </row>
    <row r="159" spans="1:4" ht="13">
      <c r="A159" s="21"/>
      <c r="B159" s="21"/>
      <c r="C159" s="21"/>
      <c r="D159" s="21"/>
    </row>
    <row r="160" spans="1:4" ht="13">
      <c r="A160" s="21"/>
      <c r="B160" s="21"/>
      <c r="C160" s="21"/>
      <c r="D160" s="21"/>
    </row>
    <row r="161" spans="1:4" ht="13">
      <c r="A161" s="21"/>
      <c r="B161" s="21"/>
      <c r="C161" s="21"/>
      <c r="D161" s="21"/>
    </row>
    <row r="162" spans="1:4" ht="13">
      <c r="A162" s="21"/>
      <c r="B162" s="21"/>
      <c r="C162" s="21"/>
      <c r="D162" s="21"/>
    </row>
    <row r="163" spans="1:4" ht="13">
      <c r="A163" s="21"/>
      <c r="B163" s="21"/>
      <c r="C163" s="21"/>
      <c r="D163" s="21"/>
    </row>
    <row r="164" spans="1:4" ht="13">
      <c r="A164" s="21"/>
      <c r="B164" s="21"/>
      <c r="C164" s="21"/>
      <c r="D164" s="21"/>
    </row>
    <row r="165" spans="1:4" ht="13">
      <c r="A165" s="21"/>
      <c r="B165" s="21"/>
      <c r="C165" s="21"/>
      <c r="D165" s="21"/>
    </row>
    <row r="166" spans="1:4" ht="13">
      <c r="A166" s="21"/>
      <c r="B166" s="21"/>
      <c r="C166" s="21"/>
      <c r="D166" s="21"/>
    </row>
    <row r="167" spans="1:4" ht="13">
      <c r="A167" s="21"/>
      <c r="B167" s="21"/>
      <c r="C167" s="21"/>
      <c r="D167" s="21"/>
    </row>
    <row r="168" spans="1:4" ht="13">
      <c r="A168" s="21"/>
      <c r="B168" s="21"/>
      <c r="C168" s="21"/>
      <c r="D168" s="21"/>
    </row>
    <row r="169" spans="1:4" ht="13">
      <c r="A169" s="21"/>
      <c r="B169" s="21"/>
      <c r="C169" s="21"/>
      <c r="D169" s="21"/>
    </row>
    <row r="170" spans="1:4" ht="13">
      <c r="A170" s="21"/>
      <c r="B170" s="21"/>
      <c r="C170" s="21"/>
      <c r="D170" s="21"/>
    </row>
    <row r="171" spans="1:4" ht="13">
      <c r="A171" s="21"/>
      <c r="B171" s="21"/>
      <c r="C171" s="21"/>
      <c r="D171" s="21"/>
    </row>
    <row r="172" spans="1:4" ht="13">
      <c r="A172" s="21"/>
      <c r="B172" s="21"/>
      <c r="C172" s="21"/>
      <c r="D172" s="21"/>
    </row>
    <row r="173" spans="1:4" ht="13">
      <c r="A173" s="21"/>
      <c r="B173" s="21"/>
      <c r="C173" s="21"/>
      <c r="D173" s="21"/>
    </row>
    <row r="174" spans="1:4" ht="13">
      <c r="A174" s="21"/>
      <c r="B174" s="21"/>
      <c r="C174" s="21"/>
      <c r="D174" s="21"/>
    </row>
    <row r="175" spans="1:4" ht="13">
      <c r="A175" s="21"/>
      <c r="B175" s="21"/>
      <c r="C175" s="21"/>
      <c r="D175" s="21"/>
    </row>
    <row r="176" spans="1:4" ht="13">
      <c r="A176" s="21"/>
      <c r="B176" s="21"/>
      <c r="C176" s="21"/>
      <c r="D176" s="21"/>
    </row>
    <row r="177" spans="1:4" ht="13">
      <c r="A177" s="21"/>
      <c r="B177" s="21"/>
      <c r="C177" s="21"/>
      <c r="D177" s="21"/>
    </row>
    <row r="178" spans="1:4" ht="13">
      <c r="A178" s="21"/>
      <c r="B178" s="21"/>
      <c r="C178" s="21"/>
      <c r="D178" s="21"/>
    </row>
    <row r="179" spans="1:4" ht="13">
      <c r="A179" s="21"/>
      <c r="B179" s="21"/>
      <c r="C179" s="21"/>
      <c r="D179" s="21"/>
    </row>
    <row r="180" spans="1:4" ht="13">
      <c r="A180" s="21"/>
      <c r="B180" s="21"/>
      <c r="C180" s="21"/>
      <c r="D180" s="21"/>
    </row>
    <row r="181" spans="1:4" ht="13">
      <c r="A181" s="21"/>
      <c r="B181" s="21"/>
      <c r="C181" s="21"/>
      <c r="D181" s="21"/>
    </row>
    <row r="182" spans="1:4" ht="13">
      <c r="A182" s="21"/>
      <c r="B182" s="21"/>
      <c r="C182" s="21"/>
      <c r="D182" s="21"/>
    </row>
    <row r="183" spans="1:4" ht="13">
      <c r="A183" s="21"/>
      <c r="B183" s="21"/>
      <c r="C183" s="21"/>
      <c r="D183" s="21"/>
    </row>
    <row r="184" spans="1:4" ht="13">
      <c r="A184" s="21"/>
      <c r="B184" s="21"/>
      <c r="C184" s="21"/>
      <c r="D184" s="21"/>
    </row>
    <row r="185" spans="1:4" ht="13">
      <c r="A185" s="21"/>
      <c r="B185" s="21"/>
      <c r="C185" s="21"/>
      <c r="D185" s="21"/>
    </row>
    <row r="186" spans="1:4" ht="13">
      <c r="A186" s="21"/>
      <c r="B186" s="21"/>
      <c r="C186" s="21"/>
      <c r="D186" s="21"/>
    </row>
    <row r="187" spans="1:4" ht="13">
      <c r="A187" s="21"/>
      <c r="B187" s="21"/>
      <c r="C187" s="21"/>
      <c r="D187" s="21"/>
    </row>
    <row r="188" spans="1:4" ht="13">
      <c r="A188" s="21"/>
      <c r="B188" s="21"/>
      <c r="C188" s="21"/>
      <c r="D188" s="21"/>
    </row>
    <row r="189" spans="1:4" ht="13">
      <c r="A189" s="21"/>
      <c r="B189" s="21"/>
      <c r="C189" s="21"/>
      <c r="D189" s="21"/>
    </row>
    <row r="190" spans="1:4" ht="13">
      <c r="A190" s="21"/>
      <c r="B190" s="21"/>
      <c r="C190" s="21"/>
      <c r="D190" s="21"/>
    </row>
    <row r="191" spans="1:4" ht="13">
      <c r="A191" s="21"/>
      <c r="B191" s="21"/>
      <c r="C191" s="21"/>
      <c r="D191" s="21"/>
    </row>
    <row r="192" spans="1:4" ht="13">
      <c r="A192" s="21"/>
      <c r="B192" s="21"/>
      <c r="C192" s="21"/>
      <c r="D192" s="21"/>
    </row>
    <row r="193" spans="1:4" ht="13">
      <c r="A193" s="21"/>
      <c r="B193" s="21"/>
      <c r="C193" s="21"/>
      <c r="D193" s="21"/>
    </row>
    <row r="194" spans="1:4" ht="13">
      <c r="A194" s="21"/>
      <c r="B194" s="21"/>
      <c r="C194" s="21"/>
      <c r="D194" s="21"/>
    </row>
    <row r="195" spans="1:4" ht="13">
      <c r="A195" s="21"/>
      <c r="B195" s="21"/>
      <c r="C195" s="21"/>
      <c r="D195" s="21"/>
    </row>
    <row r="196" spans="1:4" ht="13">
      <c r="A196" s="21"/>
      <c r="B196" s="21"/>
      <c r="C196" s="21"/>
      <c r="D196" s="21"/>
    </row>
    <row r="197" spans="1:4" ht="13">
      <c r="A197" s="21"/>
      <c r="B197" s="21"/>
      <c r="C197" s="21"/>
      <c r="D197" s="21"/>
    </row>
    <row r="198" spans="1:4" ht="13">
      <c r="A198" s="21"/>
      <c r="B198" s="21"/>
      <c r="C198" s="21"/>
      <c r="D198" s="21"/>
    </row>
    <row r="199" spans="1:4" ht="13">
      <c r="A199" s="21"/>
      <c r="B199" s="21"/>
      <c r="C199" s="21"/>
      <c r="D199" s="21"/>
    </row>
    <row r="200" spans="1:4" ht="13">
      <c r="A200" s="21"/>
      <c r="B200" s="21"/>
      <c r="C200" s="21"/>
      <c r="D200" s="21"/>
    </row>
    <row r="201" spans="1:4" ht="13">
      <c r="A201" s="21"/>
      <c r="B201" s="21"/>
      <c r="C201" s="21"/>
      <c r="D201" s="21"/>
    </row>
    <row r="202" spans="1:4" ht="13">
      <c r="A202" s="21"/>
      <c r="B202" s="21"/>
      <c r="C202" s="21"/>
      <c r="D202" s="21"/>
    </row>
    <row r="203" spans="1:4" ht="13">
      <c r="A203" s="21"/>
      <c r="B203" s="21"/>
      <c r="C203" s="21"/>
      <c r="D203" s="21"/>
    </row>
    <row r="204" spans="1:4" ht="13">
      <c r="A204" s="21"/>
      <c r="B204" s="21"/>
      <c r="C204" s="21"/>
      <c r="D204" s="21"/>
    </row>
    <row r="205" spans="1:4" ht="13">
      <c r="A205" s="21"/>
      <c r="B205" s="21"/>
      <c r="C205" s="21"/>
      <c r="D205" s="21"/>
    </row>
    <row r="206" spans="1:4" ht="13">
      <c r="A206" s="21"/>
      <c r="B206" s="21"/>
      <c r="C206" s="21"/>
      <c r="D206" s="21"/>
    </row>
    <row r="207" spans="1:4" ht="13">
      <c r="A207" s="21"/>
      <c r="B207" s="21"/>
      <c r="C207" s="21"/>
      <c r="D207" s="21"/>
    </row>
    <row r="208" spans="1:4" ht="13">
      <c r="A208" s="21"/>
      <c r="B208" s="21"/>
      <c r="C208" s="21"/>
      <c r="D208" s="21"/>
    </row>
    <row r="209" spans="1:4" ht="13">
      <c r="A209" s="21"/>
      <c r="B209" s="21"/>
      <c r="C209" s="21"/>
      <c r="D209" s="21"/>
    </row>
    <row r="210" spans="1:4" ht="13">
      <c r="A210" s="21"/>
      <c r="B210" s="21"/>
      <c r="C210" s="21"/>
      <c r="D210" s="21"/>
    </row>
    <row r="211" spans="1:4" ht="13">
      <c r="A211" s="21"/>
      <c r="B211" s="21"/>
      <c r="C211" s="21"/>
      <c r="D211" s="21"/>
    </row>
    <row r="212" spans="1:4" ht="13">
      <c r="A212" s="21"/>
      <c r="B212" s="21"/>
      <c r="C212" s="21"/>
      <c r="D212" s="21"/>
    </row>
    <row r="213" spans="1:4" ht="13">
      <c r="A213" s="21"/>
      <c r="B213" s="21"/>
      <c r="C213" s="21"/>
      <c r="D213" s="21"/>
    </row>
    <row r="214" spans="1:4" ht="13">
      <c r="A214" s="21"/>
      <c r="B214" s="21"/>
      <c r="C214" s="21"/>
      <c r="D214" s="21"/>
    </row>
    <row r="215" spans="1:4" ht="13">
      <c r="A215" s="21"/>
      <c r="B215" s="21"/>
      <c r="C215" s="21"/>
      <c r="D215" s="21"/>
    </row>
    <row r="216" spans="1:4" ht="13">
      <c r="A216" s="21"/>
      <c r="B216" s="21"/>
      <c r="C216" s="21"/>
      <c r="D216" s="21"/>
    </row>
    <row r="217" spans="1:4" ht="13">
      <c r="A217" s="21"/>
      <c r="B217" s="21"/>
      <c r="C217" s="21"/>
      <c r="D217" s="21"/>
    </row>
    <row r="218" spans="1:4" ht="13">
      <c r="A218" s="21"/>
      <c r="B218" s="21"/>
      <c r="C218" s="21"/>
      <c r="D218" s="21"/>
    </row>
    <row r="219" spans="1:4" ht="13">
      <c r="A219" s="21"/>
      <c r="B219" s="21"/>
      <c r="C219" s="21"/>
      <c r="D219" s="21"/>
    </row>
    <row r="220" spans="1:4" ht="13">
      <c r="A220" s="21"/>
      <c r="B220" s="21"/>
      <c r="C220" s="21"/>
      <c r="D220" s="21"/>
    </row>
    <row r="221" spans="1:4" ht="13">
      <c r="A221" s="21"/>
      <c r="B221" s="21"/>
      <c r="C221" s="21"/>
      <c r="D221" s="21"/>
    </row>
    <row r="222" spans="1:4" ht="13">
      <c r="A222" s="21"/>
      <c r="B222" s="21"/>
      <c r="C222" s="21"/>
      <c r="D222" s="21"/>
    </row>
    <row r="223" spans="1:4" ht="13">
      <c r="A223" s="21"/>
      <c r="B223" s="21"/>
      <c r="C223" s="21"/>
      <c r="D223" s="21"/>
    </row>
    <row r="224" spans="1:4" ht="13">
      <c r="A224" s="21"/>
      <c r="B224" s="21"/>
      <c r="C224" s="21"/>
      <c r="D224" s="21"/>
    </row>
    <row r="225" spans="1:4" ht="13">
      <c r="A225" s="21"/>
      <c r="B225" s="21"/>
      <c r="C225" s="21"/>
      <c r="D225" s="21"/>
    </row>
    <row r="226" spans="1:4" ht="13">
      <c r="A226" s="21"/>
      <c r="B226" s="21"/>
      <c r="C226" s="21"/>
      <c r="D226" s="21"/>
    </row>
    <row r="227" spans="1:4" ht="13">
      <c r="A227" s="21"/>
      <c r="B227" s="21"/>
      <c r="C227" s="21"/>
      <c r="D227" s="21"/>
    </row>
    <row r="228" spans="1:4" ht="13">
      <c r="A228" s="21"/>
      <c r="B228" s="21"/>
      <c r="C228" s="21"/>
      <c r="D228" s="21"/>
    </row>
    <row r="229" spans="1:4" ht="13">
      <c r="A229" s="21"/>
      <c r="B229" s="21"/>
      <c r="C229" s="21"/>
      <c r="D229" s="21"/>
    </row>
    <row r="230" spans="1:4" ht="13">
      <c r="A230" s="21"/>
      <c r="B230" s="21"/>
      <c r="C230" s="21"/>
      <c r="D230" s="21"/>
    </row>
    <row r="231" spans="1:4" ht="13">
      <c r="A231" s="21"/>
      <c r="B231" s="21"/>
      <c r="C231" s="21"/>
      <c r="D231" s="21"/>
    </row>
    <row r="232" spans="1:4" ht="13">
      <c r="A232" s="21"/>
      <c r="B232" s="21"/>
      <c r="C232" s="21"/>
      <c r="D232" s="21"/>
    </row>
    <row r="233" spans="1:4" ht="13">
      <c r="A233" s="21"/>
      <c r="B233" s="21"/>
      <c r="C233" s="21"/>
      <c r="D233" s="21"/>
    </row>
    <row r="234" spans="1:4" ht="13">
      <c r="A234" s="21"/>
      <c r="B234" s="21"/>
      <c r="C234" s="21"/>
      <c r="D234" s="21"/>
    </row>
    <row r="235" spans="1:4" ht="13">
      <c r="A235" s="21"/>
      <c r="B235" s="21"/>
      <c r="C235" s="21"/>
      <c r="D235" s="21"/>
    </row>
    <row r="236" spans="1:4" ht="13">
      <c r="A236" s="21"/>
      <c r="B236" s="21"/>
      <c r="C236" s="21"/>
      <c r="D236" s="21"/>
    </row>
    <row r="237" spans="1:4" ht="13">
      <c r="A237" s="21"/>
      <c r="B237" s="21"/>
      <c r="C237" s="21"/>
      <c r="D237" s="21"/>
    </row>
    <row r="238" spans="1:4" ht="13">
      <c r="A238" s="21"/>
      <c r="B238" s="21"/>
      <c r="C238" s="21"/>
      <c r="D238" s="21"/>
    </row>
    <row r="239" spans="1:4" ht="13">
      <c r="A239" s="21"/>
      <c r="B239" s="21"/>
      <c r="C239" s="21"/>
      <c r="D239" s="21"/>
    </row>
    <row r="240" spans="1:4" ht="13">
      <c r="A240" s="21"/>
      <c r="B240" s="21"/>
      <c r="C240" s="21"/>
      <c r="D240" s="21"/>
    </row>
    <row r="241" spans="1:4" ht="13">
      <c r="A241" s="21"/>
      <c r="B241" s="21"/>
      <c r="C241" s="21"/>
      <c r="D241" s="21"/>
    </row>
    <row r="242" spans="1:4" ht="13">
      <c r="A242" s="21"/>
      <c r="B242" s="21"/>
      <c r="C242" s="21"/>
      <c r="D242" s="21"/>
    </row>
    <row r="243" spans="1:4" ht="13">
      <c r="A243" s="21"/>
      <c r="B243" s="21"/>
      <c r="C243" s="21"/>
      <c r="D243" s="21"/>
    </row>
    <row r="244" spans="1:4" ht="13">
      <c r="A244" s="21"/>
      <c r="B244" s="21"/>
      <c r="C244" s="21"/>
      <c r="D244" s="21"/>
    </row>
    <row r="245" spans="1:4" ht="13">
      <c r="A245" s="21"/>
      <c r="B245" s="21"/>
      <c r="C245" s="21"/>
      <c r="D245" s="21"/>
    </row>
    <row r="246" spans="1:4" ht="13">
      <c r="A246" s="21"/>
      <c r="B246" s="21"/>
      <c r="C246" s="21"/>
      <c r="D246" s="21"/>
    </row>
    <row r="247" spans="1:4" ht="13">
      <c r="A247" s="21"/>
      <c r="B247" s="21"/>
      <c r="C247" s="21"/>
      <c r="D247" s="21"/>
    </row>
    <row r="248" spans="1:4" ht="13">
      <c r="A248" s="21"/>
      <c r="B248" s="21"/>
      <c r="C248" s="21"/>
      <c r="D248" s="21"/>
    </row>
    <row r="249" spans="1:4" ht="13">
      <c r="A249" s="21"/>
      <c r="B249" s="21"/>
      <c r="C249" s="21"/>
      <c r="D249" s="21"/>
    </row>
    <row r="250" spans="1:4" ht="13">
      <c r="A250" s="21"/>
      <c r="B250" s="21"/>
      <c r="C250" s="21"/>
      <c r="D250" s="21"/>
    </row>
    <row r="251" spans="1:4" ht="13">
      <c r="A251" s="21"/>
      <c r="B251" s="21"/>
      <c r="C251" s="21"/>
      <c r="D251" s="21"/>
    </row>
    <row r="252" spans="1:4" ht="13">
      <c r="A252" s="21"/>
      <c r="B252" s="21"/>
      <c r="C252" s="21"/>
      <c r="D252" s="21"/>
    </row>
    <row r="253" spans="1:4" ht="13">
      <c r="A253" s="21"/>
      <c r="B253" s="21"/>
      <c r="C253" s="21"/>
      <c r="D253" s="21"/>
    </row>
    <row r="254" spans="1:4" ht="13">
      <c r="A254" s="21"/>
      <c r="B254" s="21"/>
      <c r="C254" s="21"/>
      <c r="D254" s="21"/>
    </row>
    <row r="255" spans="1:4" ht="13">
      <c r="A255" s="21"/>
      <c r="B255" s="21"/>
      <c r="C255" s="21"/>
      <c r="D255" s="21"/>
    </row>
    <row r="256" spans="1:4" ht="13">
      <c r="A256" s="21"/>
      <c r="B256" s="21"/>
      <c r="C256" s="21"/>
      <c r="D256" s="21"/>
    </row>
    <row r="257" spans="1:4" ht="13">
      <c r="A257" s="21"/>
      <c r="B257" s="21"/>
      <c r="C257" s="21"/>
      <c r="D257" s="21"/>
    </row>
    <row r="258" spans="1:4" ht="13">
      <c r="A258" s="21"/>
      <c r="B258" s="21"/>
      <c r="C258" s="21"/>
      <c r="D258" s="21"/>
    </row>
    <row r="259" spans="1:4" ht="13">
      <c r="A259" s="21"/>
      <c r="B259" s="21"/>
      <c r="C259" s="21"/>
      <c r="D259" s="21"/>
    </row>
    <row r="260" spans="1:4" ht="13">
      <c r="A260" s="21"/>
      <c r="B260" s="21"/>
      <c r="C260" s="21"/>
      <c r="D260" s="21"/>
    </row>
    <row r="261" spans="1:4" ht="13">
      <c r="A261" s="21"/>
      <c r="B261" s="21"/>
      <c r="C261" s="21"/>
      <c r="D261" s="21"/>
    </row>
    <row r="262" spans="1:4" ht="13">
      <c r="A262" s="21"/>
      <c r="B262" s="21"/>
      <c r="C262" s="21"/>
      <c r="D262" s="21"/>
    </row>
    <row r="263" spans="1:4" ht="13">
      <c r="A263" s="21"/>
      <c r="B263" s="21"/>
      <c r="C263" s="21"/>
      <c r="D263" s="21"/>
    </row>
    <row r="264" spans="1:4" ht="13">
      <c r="A264" s="21"/>
      <c r="B264" s="21"/>
      <c r="C264" s="21"/>
      <c r="D264" s="21"/>
    </row>
    <row r="265" spans="1:4" ht="13">
      <c r="A265" s="21"/>
      <c r="B265" s="21"/>
      <c r="C265" s="21"/>
      <c r="D265" s="21"/>
    </row>
    <row r="266" spans="1:4" ht="13">
      <c r="A266" s="21"/>
      <c r="B266" s="21"/>
      <c r="C266" s="21"/>
      <c r="D266" s="21"/>
    </row>
    <row r="267" spans="1:4" ht="13">
      <c r="A267" s="21"/>
      <c r="B267" s="21"/>
      <c r="C267" s="21"/>
      <c r="D267" s="21"/>
    </row>
    <row r="268" spans="1:4" ht="13">
      <c r="A268" s="21"/>
      <c r="B268" s="21"/>
      <c r="C268" s="21"/>
      <c r="D268" s="21"/>
    </row>
    <row r="269" spans="1:4" ht="13">
      <c r="A269" s="21"/>
      <c r="B269" s="21"/>
      <c r="C269" s="21"/>
      <c r="D269" s="21"/>
    </row>
    <row r="270" spans="1:4" ht="13">
      <c r="A270" s="21"/>
      <c r="B270" s="21"/>
      <c r="C270" s="21"/>
      <c r="D270" s="21"/>
    </row>
    <row r="271" spans="1:4" ht="13">
      <c r="A271" s="21"/>
      <c r="B271" s="21"/>
      <c r="C271" s="21"/>
      <c r="D271" s="21"/>
    </row>
    <row r="272" spans="1:4" ht="13">
      <c r="A272" s="21"/>
      <c r="B272" s="21"/>
      <c r="C272" s="21"/>
      <c r="D272" s="21"/>
    </row>
    <row r="273" spans="1:4" ht="13">
      <c r="A273" s="21"/>
      <c r="B273" s="21"/>
      <c r="C273" s="21"/>
      <c r="D273" s="21"/>
    </row>
    <row r="274" spans="1:4" ht="13">
      <c r="A274" s="21"/>
      <c r="B274" s="21"/>
      <c r="C274" s="21"/>
      <c r="D274" s="21"/>
    </row>
    <row r="275" spans="1:4" ht="13">
      <c r="A275" s="21"/>
      <c r="B275" s="21"/>
      <c r="C275" s="21"/>
      <c r="D275" s="21"/>
    </row>
    <row r="276" spans="1:4" ht="13">
      <c r="A276" s="21"/>
      <c r="B276" s="21"/>
      <c r="C276" s="21"/>
      <c r="D276" s="21"/>
    </row>
    <row r="277" spans="1:4" ht="13">
      <c r="A277" s="21"/>
      <c r="B277" s="21"/>
      <c r="C277" s="21"/>
      <c r="D277" s="21"/>
    </row>
    <row r="278" spans="1:4" ht="13">
      <c r="A278" s="21"/>
      <c r="B278" s="21"/>
      <c r="C278" s="21"/>
      <c r="D278" s="21"/>
    </row>
    <row r="279" spans="1:4" ht="13">
      <c r="A279" s="21"/>
      <c r="B279" s="21"/>
      <c r="C279" s="21"/>
      <c r="D279" s="21"/>
    </row>
    <row r="280" spans="1:4" ht="13">
      <c r="A280" s="21"/>
      <c r="B280" s="21"/>
      <c r="C280" s="21"/>
      <c r="D280" s="21"/>
    </row>
    <row r="281" spans="1:4" ht="13">
      <c r="A281" s="21"/>
      <c r="B281" s="21"/>
      <c r="C281" s="21"/>
      <c r="D281" s="21"/>
    </row>
    <row r="282" spans="1:4" ht="13">
      <c r="A282" s="21"/>
      <c r="B282" s="21"/>
      <c r="C282" s="21"/>
      <c r="D282" s="21"/>
    </row>
    <row r="283" spans="1:4" ht="13">
      <c r="A283" s="21"/>
      <c r="B283" s="21"/>
      <c r="C283" s="21"/>
      <c r="D283" s="21"/>
    </row>
    <row r="284" spans="1:4" ht="13">
      <c r="A284" s="21"/>
      <c r="B284" s="21"/>
      <c r="C284" s="21"/>
      <c r="D284" s="21"/>
    </row>
    <row r="285" spans="1:4" ht="13">
      <c r="A285" s="21"/>
      <c r="B285" s="21"/>
      <c r="C285" s="21"/>
      <c r="D285" s="21"/>
    </row>
    <row r="286" spans="1:4" ht="13">
      <c r="A286" s="21"/>
      <c r="B286" s="21"/>
      <c r="C286" s="21"/>
      <c r="D286" s="21"/>
    </row>
    <row r="287" spans="1:4" ht="13">
      <c r="A287" s="21"/>
      <c r="B287" s="21"/>
      <c r="C287" s="21"/>
      <c r="D287" s="21"/>
    </row>
    <row r="288" spans="1:4" ht="13">
      <c r="A288" s="21"/>
      <c r="B288" s="21"/>
      <c r="C288" s="21"/>
      <c r="D288" s="21"/>
    </row>
    <row r="289" spans="1:4" ht="13">
      <c r="A289" s="21"/>
      <c r="B289" s="21"/>
      <c r="C289" s="21"/>
      <c r="D289" s="21"/>
    </row>
    <row r="290" spans="1:4" ht="13">
      <c r="A290" s="21"/>
      <c r="B290" s="21"/>
      <c r="C290" s="21"/>
      <c r="D290" s="21"/>
    </row>
    <row r="291" spans="1:4" ht="13">
      <c r="A291" s="21"/>
      <c r="B291" s="21"/>
      <c r="C291" s="21"/>
      <c r="D291" s="21"/>
    </row>
    <row r="292" spans="1:4" ht="13">
      <c r="A292" s="21"/>
      <c r="B292" s="21"/>
      <c r="C292" s="21"/>
      <c r="D292" s="21"/>
    </row>
    <row r="293" spans="1:4" ht="13">
      <c r="A293" s="21"/>
      <c r="B293" s="21"/>
      <c r="C293" s="21"/>
      <c r="D293" s="21"/>
    </row>
    <row r="294" spans="1:4" ht="13">
      <c r="A294" s="21"/>
      <c r="B294" s="21"/>
      <c r="C294" s="21"/>
      <c r="D294" s="21"/>
    </row>
    <row r="295" spans="1:4" ht="13">
      <c r="A295" s="21"/>
      <c r="B295" s="21"/>
      <c r="C295" s="21"/>
      <c r="D295" s="21"/>
    </row>
    <row r="296" spans="1:4" ht="13">
      <c r="A296" s="21"/>
      <c r="B296" s="21"/>
      <c r="C296" s="21"/>
      <c r="D296" s="21"/>
    </row>
    <row r="297" spans="1:4" ht="13">
      <c r="A297" s="21"/>
      <c r="B297" s="21"/>
      <c r="C297" s="21"/>
      <c r="D297" s="21"/>
    </row>
    <row r="298" spans="1:4" ht="13">
      <c r="A298" s="21"/>
      <c r="B298" s="21"/>
      <c r="C298" s="21"/>
      <c r="D298" s="21"/>
    </row>
    <row r="299" spans="1:4" ht="13">
      <c r="A299" s="21"/>
      <c r="B299" s="21"/>
      <c r="C299" s="21"/>
      <c r="D299" s="21"/>
    </row>
    <row r="300" spans="1:4" ht="13">
      <c r="A300" s="21"/>
      <c r="B300" s="21"/>
      <c r="C300" s="21"/>
      <c r="D300" s="21"/>
    </row>
    <row r="301" spans="1:4" ht="13">
      <c r="A301" s="21"/>
      <c r="B301" s="21"/>
      <c r="C301" s="21"/>
      <c r="D301" s="21"/>
    </row>
    <row r="302" spans="1:4" ht="13">
      <c r="A302" s="21"/>
      <c r="B302" s="21"/>
      <c r="C302" s="21"/>
      <c r="D302" s="21"/>
    </row>
    <row r="303" spans="1:4" ht="13">
      <c r="A303" s="21"/>
      <c r="B303" s="21"/>
      <c r="C303" s="21"/>
      <c r="D303" s="21"/>
    </row>
    <row r="304" spans="1:4" ht="13">
      <c r="A304" s="21"/>
      <c r="B304" s="21"/>
      <c r="C304" s="21"/>
      <c r="D304" s="21"/>
    </row>
    <row r="305" spans="1:4" ht="13">
      <c r="A305" s="21"/>
      <c r="B305" s="21"/>
      <c r="C305" s="21"/>
      <c r="D305" s="21"/>
    </row>
    <row r="306" spans="1:4" ht="13">
      <c r="A306" s="21"/>
      <c r="B306" s="21"/>
      <c r="C306" s="21"/>
      <c r="D306" s="21"/>
    </row>
    <row r="307" spans="1:4" ht="13">
      <c r="A307" s="21"/>
      <c r="B307" s="21"/>
      <c r="C307" s="21"/>
      <c r="D307" s="21"/>
    </row>
    <row r="308" spans="1:4" ht="13">
      <c r="A308" s="21"/>
      <c r="B308" s="21"/>
      <c r="C308" s="21"/>
      <c r="D308" s="21"/>
    </row>
    <row r="309" spans="1:4" ht="13">
      <c r="A309" s="21"/>
      <c r="B309" s="21"/>
      <c r="C309" s="21"/>
      <c r="D309" s="21"/>
    </row>
    <row r="310" spans="1:4" ht="13">
      <c r="A310" s="21"/>
      <c r="B310" s="21"/>
      <c r="C310" s="21"/>
      <c r="D310" s="21"/>
    </row>
    <row r="311" spans="1:4" ht="13">
      <c r="A311" s="21"/>
      <c r="B311" s="21"/>
      <c r="C311" s="21"/>
      <c r="D311" s="21"/>
    </row>
    <row r="312" spans="1:4" ht="13">
      <c r="A312" s="21"/>
      <c r="B312" s="21"/>
      <c r="C312" s="21"/>
      <c r="D312" s="21"/>
    </row>
    <row r="313" spans="1:4" ht="13">
      <c r="A313" s="21"/>
      <c r="B313" s="21"/>
      <c r="C313" s="21"/>
      <c r="D313" s="21"/>
    </row>
    <row r="314" spans="1:4" ht="13">
      <c r="A314" s="21"/>
      <c r="B314" s="21"/>
      <c r="C314" s="21"/>
      <c r="D314" s="21"/>
    </row>
    <row r="315" spans="1:4" ht="13">
      <c r="A315" s="21"/>
      <c r="B315" s="21"/>
      <c r="C315" s="21"/>
      <c r="D315" s="21"/>
    </row>
    <row r="316" spans="1:4" ht="13">
      <c r="A316" s="21"/>
      <c r="B316" s="21"/>
      <c r="C316" s="21"/>
      <c r="D316" s="21"/>
    </row>
    <row r="317" spans="1:4" ht="13">
      <c r="A317" s="21"/>
      <c r="B317" s="21"/>
      <c r="C317" s="21"/>
      <c r="D317" s="21"/>
    </row>
    <row r="318" spans="1:4" ht="13">
      <c r="A318" s="21"/>
      <c r="B318" s="21"/>
      <c r="C318" s="21"/>
      <c r="D318" s="21"/>
    </row>
    <row r="319" spans="1:4" ht="13">
      <c r="A319" s="21"/>
      <c r="B319" s="21"/>
      <c r="C319" s="21"/>
      <c r="D319" s="21"/>
    </row>
    <row r="320" spans="1:4" ht="13">
      <c r="A320" s="21"/>
      <c r="B320" s="21"/>
      <c r="C320" s="21"/>
      <c r="D320" s="21"/>
    </row>
    <row r="321" spans="1:4" ht="13">
      <c r="A321" s="21"/>
      <c r="B321" s="21"/>
      <c r="C321" s="21"/>
      <c r="D321" s="21"/>
    </row>
    <row r="322" spans="1:4" ht="13">
      <c r="A322" s="21"/>
      <c r="B322" s="21"/>
      <c r="C322" s="21"/>
      <c r="D322" s="21"/>
    </row>
    <row r="323" spans="1:4" ht="13">
      <c r="A323" s="21"/>
      <c r="B323" s="21"/>
      <c r="C323" s="21"/>
      <c r="D323" s="21"/>
    </row>
    <row r="324" spans="1:4" ht="13">
      <c r="A324" s="21"/>
      <c r="B324" s="21"/>
      <c r="C324" s="21"/>
      <c r="D324" s="21"/>
    </row>
    <row r="325" spans="1:4" ht="13">
      <c r="A325" s="21"/>
      <c r="B325" s="21"/>
      <c r="C325" s="21"/>
      <c r="D325" s="21"/>
    </row>
    <row r="326" spans="1:4" ht="13">
      <c r="A326" s="21"/>
      <c r="B326" s="21"/>
      <c r="C326" s="21"/>
      <c r="D326" s="21"/>
    </row>
    <row r="327" spans="1:4" ht="13">
      <c r="A327" s="21"/>
      <c r="B327" s="21"/>
      <c r="C327" s="21"/>
      <c r="D327" s="21"/>
    </row>
    <row r="328" spans="1:4" ht="13">
      <c r="A328" s="21"/>
      <c r="B328" s="21"/>
      <c r="C328" s="21"/>
      <c r="D328" s="21"/>
    </row>
    <row r="329" spans="1:4" ht="13">
      <c r="A329" s="21"/>
      <c r="B329" s="21"/>
      <c r="C329" s="21"/>
      <c r="D329" s="21"/>
    </row>
    <row r="330" spans="1:4" ht="13">
      <c r="A330" s="21"/>
      <c r="B330" s="21"/>
      <c r="C330" s="21"/>
      <c r="D330" s="21"/>
    </row>
    <row r="331" spans="1:4" ht="13">
      <c r="A331" s="21"/>
      <c r="B331" s="21"/>
      <c r="C331" s="21"/>
      <c r="D331" s="21"/>
    </row>
    <row r="332" spans="1:4" ht="13">
      <c r="A332" s="21"/>
      <c r="B332" s="21"/>
      <c r="C332" s="21"/>
      <c r="D332" s="21"/>
    </row>
    <row r="333" spans="1:4" ht="13">
      <c r="A333" s="21"/>
      <c r="B333" s="21"/>
      <c r="C333" s="21"/>
      <c r="D333" s="21"/>
    </row>
    <row r="334" spans="1:4" ht="13">
      <c r="A334" s="21"/>
      <c r="B334" s="21"/>
      <c r="C334" s="21"/>
      <c r="D334" s="21"/>
    </row>
    <row r="335" spans="1:4" ht="13">
      <c r="A335" s="21"/>
      <c r="B335" s="21"/>
      <c r="C335" s="21"/>
      <c r="D335" s="21"/>
    </row>
    <row r="336" spans="1:4" ht="13">
      <c r="A336" s="21"/>
      <c r="B336" s="21"/>
      <c r="C336" s="21"/>
      <c r="D336" s="21"/>
    </row>
    <row r="337" spans="1:4" ht="13">
      <c r="A337" s="21"/>
      <c r="B337" s="21"/>
      <c r="C337" s="21"/>
      <c r="D337" s="21"/>
    </row>
    <row r="338" spans="1:4" ht="13">
      <c r="A338" s="21"/>
      <c r="B338" s="21"/>
      <c r="C338" s="21"/>
      <c r="D338" s="21"/>
    </row>
    <row r="339" spans="1:4" ht="13">
      <c r="A339" s="21"/>
      <c r="B339" s="21"/>
      <c r="C339" s="21"/>
      <c r="D339" s="21"/>
    </row>
    <row r="340" spans="1:4" ht="13">
      <c r="A340" s="21"/>
      <c r="B340" s="21"/>
      <c r="C340" s="21"/>
      <c r="D340" s="21"/>
    </row>
    <row r="341" spans="1:4" ht="13">
      <c r="A341" s="21"/>
      <c r="B341" s="21"/>
      <c r="C341" s="21"/>
      <c r="D341" s="21"/>
    </row>
    <row r="342" spans="1:4" ht="13">
      <c r="A342" s="21"/>
      <c r="B342" s="21"/>
      <c r="C342" s="21"/>
      <c r="D342" s="21"/>
    </row>
    <row r="343" spans="1:4" ht="13">
      <c r="A343" s="21"/>
      <c r="B343" s="21"/>
      <c r="C343" s="21"/>
      <c r="D343" s="21"/>
    </row>
    <row r="344" spans="1:4" ht="13">
      <c r="A344" s="21"/>
      <c r="B344" s="21"/>
      <c r="C344" s="21"/>
      <c r="D344" s="21"/>
    </row>
    <row r="345" spans="1:4" ht="13">
      <c r="A345" s="21"/>
      <c r="B345" s="21"/>
      <c r="C345" s="21"/>
      <c r="D345" s="21"/>
    </row>
    <row r="346" spans="1:4" ht="13">
      <c r="A346" s="21"/>
      <c r="B346" s="21"/>
      <c r="C346" s="21"/>
      <c r="D346" s="21"/>
    </row>
    <row r="347" spans="1:4" ht="13">
      <c r="A347" s="21"/>
      <c r="B347" s="21"/>
      <c r="C347" s="21"/>
      <c r="D347" s="21"/>
    </row>
    <row r="348" spans="1:4" ht="13">
      <c r="A348" s="21"/>
      <c r="B348" s="21"/>
      <c r="C348" s="21"/>
      <c r="D348" s="21"/>
    </row>
    <row r="349" spans="1:4" ht="13">
      <c r="A349" s="21"/>
      <c r="B349" s="21"/>
      <c r="C349" s="21"/>
      <c r="D349" s="21"/>
    </row>
    <row r="350" spans="1:4" ht="13">
      <c r="A350" s="21"/>
      <c r="B350" s="21"/>
      <c r="C350" s="21"/>
      <c r="D350" s="21"/>
    </row>
    <row r="351" spans="1:4" ht="13">
      <c r="A351" s="21"/>
      <c r="B351" s="21"/>
      <c r="C351" s="21"/>
      <c r="D351" s="21"/>
    </row>
    <row r="352" spans="1:4" ht="13">
      <c r="A352" s="21"/>
      <c r="B352" s="21"/>
      <c r="C352" s="21"/>
      <c r="D352" s="21"/>
    </row>
    <row r="353" spans="1:4" ht="13">
      <c r="A353" s="21"/>
      <c r="B353" s="21"/>
      <c r="C353" s="21"/>
      <c r="D353" s="21"/>
    </row>
    <row r="354" spans="1:4" ht="13">
      <c r="A354" s="21"/>
      <c r="B354" s="21"/>
      <c r="C354" s="21"/>
      <c r="D354" s="21"/>
    </row>
    <row r="355" spans="1:4" ht="13">
      <c r="A355" s="21"/>
      <c r="B355" s="21"/>
      <c r="C355" s="21"/>
      <c r="D355" s="21"/>
    </row>
    <row r="356" spans="1:4" ht="13">
      <c r="A356" s="21"/>
      <c r="B356" s="21"/>
      <c r="C356" s="21"/>
      <c r="D356" s="21"/>
    </row>
    <row r="357" spans="1:4" ht="13">
      <c r="A357" s="21"/>
      <c r="B357" s="21"/>
      <c r="C357" s="21"/>
      <c r="D357" s="21"/>
    </row>
    <row r="358" spans="1:4" ht="13">
      <c r="A358" s="21"/>
      <c r="B358" s="21"/>
      <c r="C358" s="21"/>
      <c r="D358" s="21"/>
    </row>
    <row r="359" spans="1:4" ht="13">
      <c r="A359" s="21"/>
      <c r="B359" s="21"/>
      <c r="C359" s="21"/>
      <c r="D359" s="21"/>
    </row>
    <row r="360" spans="1:4" ht="13">
      <c r="A360" s="21"/>
      <c r="B360" s="21"/>
      <c r="C360" s="21"/>
      <c r="D360" s="21"/>
    </row>
    <row r="361" spans="1:4" ht="13">
      <c r="A361" s="21"/>
      <c r="B361" s="21"/>
      <c r="C361" s="21"/>
      <c r="D361" s="21"/>
    </row>
    <row r="362" spans="1:4" ht="13">
      <c r="A362" s="21"/>
      <c r="B362" s="21"/>
      <c r="C362" s="21"/>
      <c r="D362" s="21"/>
    </row>
    <row r="363" spans="1:4" ht="13">
      <c r="A363" s="21"/>
      <c r="B363" s="21"/>
      <c r="C363" s="21"/>
      <c r="D363" s="21"/>
    </row>
    <row r="364" spans="1:4" ht="13">
      <c r="A364" s="21"/>
      <c r="B364" s="21"/>
      <c r="C364" s="21"/>
      <c r="D364" s="21"/>
    </row>
    <row r="365" spans="1:4" ht="13">
      <c r="A365" s="21"/>
      <c r="B365" s="21"/>
      <c r="C365" s="21"/>
      <c r="D365" s="21"/>
    </row>
    <row r="366" spans="1:4" ht="13">
      <c r="A366" s="21"/>
      <c r="B366" s="21"/>
      <c r="C366" s="21"/>
      <c r="D366" s="21"/>
    </row>
    <row r="367" spans="1:4" ht="13">
      <c r="A367" s="21"/>
      <c r="B367" s="21"/>
      <c r="C367" s="21"/>
      <c r="D367" s="21"/>
    </row>
    <row r="368" spans="1:4" ht="13">
      <c r="A368" s="21"/>
      <c r="B368" s="21"/>
      <c r="C368" s="21"/>
      <c r="D368" s="21"/>
    </row>
    <row r="369" spans="1:4" ht="13">
      <c r="A369" s="21"/>
      <c r="B369" s="21"/>
      <c r="C369" s="21"/>
      <c r="D369" s="21"/>
    </row>
    <row r="370" spans="1:4" ht="13">
      <c r="A370" s="21"/>
      <c r="B370" s="21"/>
      <c r="C370" s="21"/>
      <c r="D370" s="21"/>
    </row>
    <row r="371" spans="1:4" ht="13">
      <c r="A371" s="21"/>
      <c r="B371" s="21"/>
      <c r="C371" s="21"/>
      <c r="D371" s="21"/>
    </row>
    <row r="372" spans="1:4" ht="13">
      <c r="A372" s="21"/>
      <c r="B372" s="21"/>
      <c r="C372" s="21"/>
      <c r="D372" s="21"/>
    </row>
    <row r="373" spans="1:4" ht="13">
      <c r="A373" s="21"/>
      <c r="B373" s="21"/>
      <c r="C373" s="21"/>
      <c r="D373" s="21"/>
    </row>
    <row r="374" spans="1:4" ht="13">
      <c r="A374" s="21"/>
      <c r="B374" s="21"/>
      <c r="C374" s="21"/>
      <c r="D374" s="21"/>
    </row>
    <row r="375" spans="1:4" ht="13">
      <c r="A375" s="21"/>
      <c r="B375" s="21"/>
      <c r="C375" s="21"/>
      <c r="D375" s="21"/>
    </row>
    <row r="376" spans="1:4" ht="13">
      <c r="A376" s="21"/>
      <c r="B376" s="21"/>
      <c r="C376" s="21"/>
      <c r="D376" s="21"/>
    </row>
    <row r="377" spans="1:4" ht="13">
      <c r="A377" s="21"/>
      <c r="B377" s="21"/>
      <c r="C377" s="21"/>
      <c r="D377" s="21"/>
    </row>
    <row r="378" spans="1:4" ht="13">
      <c r="A378" s="21"/>
      <c r="B378" s="21"/>
      <c r="C378" s="21"/>
      <c r="D378" s="21"/>
    </row>
    <row r="379" spans="1:4" ht="13">
      <c r="A379" s="21"/>
      <c r="B379" s="21"/>
      <c r="C379" s="21"/>
      <c r="D379" s="21"/>
    </row>
    <row r="380" spans="1:4" ht="13">
      <c r="A380" s="21"/>
      <c r="B380" s="21"/>
      <c r="C380" s="21"/>
      <c r="D380" s="21"/>
    </row>
    <row r="381" spans="1:4" ht="13">
      <c r="A381" s="21"/>
      <c r="B381" s="21"/>
      <c r="C381" s="21"/>
      <c r="D381" s="21"/>
    </row>
    <row r="382" spans="1:4" ht="13">
      <c r="A382" s="21"/>
      <c r="B382" s="21"/>
      <c r="C382" s="21"/>
      <c r="D382" s="21"/>
    </row>
    <row r="383" spans="1:4" ht="13">
      <c r="A383" s="21"/>
      <c r="B383" s="21"/>
      <c r="C383" s="21"/>
      <c r="D383" s="21"/>
    </row>
    <row r="384" spans="1:4" ht="13">
      <c r="A384" s="21"/>
      <c r="B384" s="21"/>
      <c r="C384" s="21"/>
      <c r="D384" s="21"/>
    </row>
    <row r="385" spans="1:4" ht="13">
      <c r="A385" s="21"/>
      <c r="B385" s="21"/>
      <c r="C385" s="21"/>
      <c r="D385" s="21"/>
    </row>
    <row r="386" spans="1:4" ht="13">
      <c r="A386" s="21"/>
      <c r="B386" s="21"/>
      <c r="C386" s="21"/>
      <c r="D386" s="21"/>
    </row>
    <row r="387" spans="1:4" ht="13">
      <c r="A387" s="21"/>
      <c r="B387" s="21"/>
      <c r="C387" s="21"/>
      <c r="D387" s="21"/>
    </row>
    <row r="388" spans="1:4" ht="13">
      <c r="A388" s="21"/>
      <c r="B388" s="21"/>
      <c r="C388" s="21"/>
      <c r="D388" s="21"/>
    </row>
    <row r="389" spans="1:4" ht="13">
      <c r="A389" s="21"/>
      <c r="B389" s="21"/>
      <c r="C389" s="21"/>
      <c r="D389" s="21"/>
    </row>
    <row r="390" spans="1:4" ht="13">
      <c r="A390" s="21"/>
      <c r="B390" s="21"/>
      <c r="C390" s="21"/>
      <c r="D390" s="21"/>
    </row>
    <row r="391" spans="1:4" ht="13">
      <c r="A391" s="21"/>
      <c r="B391" s="21"/>
      <c r="C391" s="21"/>
      <c r="D391" s="21"/>
    </row>
    <row r="392" spans="1:4" ht="13">
      <c r="A392" s="21"/>
      <c r="B392" s="21"/>
      <c r="C392" s="21"/>
      <c r="D392" s="21"/>
    </row>
    <row r="393" spans="1:4" ht="13">
      <c r="A393" s="21"/>
      <c r="B393" s="21"/>
      <c r="C393" s="21"/>
      <c r="D393" s="21"/>
    </row>
    <row r="394" spans="1:4" ht="13">
      <c r="A394" s="21"/>
      <c r="B394" s="21"/>
      <c r="C394" s="21"/>
      <c r="D394" s="21"/>
    </row>
    <row r="395" spans="1:4" ht="13">
      <c r="A395" s="21"/>
      <c r="B395" s="21"/>
      <c r="C395" s="21"/>
      <c r="D395" s="21"/>
    </row>
    <row r="396" spans="1:4" ht="13">
      <c r="A396" s="21"/>
      <c r="B396" s="21"/>
      <c r="C396" s="21"/>
      <c r="D396" s="21"/>
    </row>
    <row r="397" spans="1:4" ht="13">
      <c r="A397" s="21"/>
      <c r="B397" s="21"/>
      <c r="C397" s="21"/>
      <c r="D397" s="21"/>
    </row>
    <row r="398" spans="1:4" ht="13">
      <c r="A398" s="21"/>
      <c r="B398" s="21"/>
      <c r="C398" s="21"/>
      <c r="D398" s="21"/>
    </row>
    <row r="399" spans="1:4" ht="13">
      <c r="A399" s="21"/>
      <c r="B399" s="21"/>
      <c r="C399" s="21"/>
      <c r="D399" s="21"/>
    </row>
    <row r="400" spans="1:4" ht="13">
      <c r="A400" s="21"/>
      <c r="B400" s="21"/>
      <c r="C400" s="21"/>
      <c r="D400" s="21"/>
    </row>
    <row r="401" spans="1:4" ht="13">
      <c r="A401" s="21"/>
      <c r="B401" s="21"/>
      <c r="C401" s="21"/>
      <c r="D401" s="21"/>
    </row>
    <row r="402" spans="1:4" ht="13">
      <c r="A402" s="21"/>
      <c r="B402" s="21"/>
      <c r="C402" s="21"/>
      <c r="D402" s="21"/>
    </row>
    <row r="403" spans="1:4" ht="13">
      <c r="A403" s="21"/>
      <c r="B403" s="21"/>
      <c r="C403" s="21"/>
      <c r="D403" s="21"/>
    </row>
    <row r="404" spans="1:4" ht="13">
      <c r="A404" s="21"/>
      <c r="B404" s="21"/>
      <c r="C404" s="21"/>
      <c r="D404" s="21"/>
    </row>
    <row r="405" spans="1:4" ht="13">
      <c r="A405" s="21"/>
      <c r="B405" s="21"/>
      <c r="C405" s="21"/>
      <c r="D405" s="21"/>
    </row>
    <row r="406" spans="1:4" ht="13">
      <c r="A406" s="21"/>
      <c r="B406" s="21"/>
      <c r="C406" s="21"/>
      <c r="D406" s="21"/>
    </row>
    <row r="407" spans="1:4" ht="13">
      <c r="A407" s="21"/>
      <c r="B407" s="21"/>
      <c r="C407" s="21"/>
      <c r="D407" s="21"/>
    </row>
    <row r="408" spans="1:4" ht="13">
      <c r="A408" s="21"/>
      <c r="B408" s="21"/>
      <c r="C408" s="21"/>
      <c r="D408" s="21"/>
    </row>
    <row r="409" spans="1:4" ht="13">
      <c r="A409" s="21"/>
      <c r="B409" s="21"/>
      <c r="C409" s="21"/>
      <c r="D409" s="21"/>
    </row>
    <row r="410" spans="1:4" ht="13">
      <c r="A410" s="21"/>
      <c r="B410" s="21"/>
      <c r="C410" s="21"/>
      <c r="D410" s="21"/>
    </row>
    <row r="411" spans="1:4" ht="13">
      <c r="A411" s="21"/>
      <c r="B411" s="21"/>
      <c r="C411" s="21"/>
      <c r="D411" s="21"/>
    </row>
    <row r="412" spans="1:4" ht="13">
      <c r="A412" s="21"/>
      <c r="B412" s="21"/>
      <c r="C412" s="21"/>
      <c r="D412" s="21"/>
    </row>
    <row r="413" spans="1:4" ht="13">
      <c r="A413" s="21"/>
      <c r="B413" s="21"/>
      <c r="C413" s="21"/>
      <c r="D413" s="21"/>
    </row>
    <row r="414" spans="1:4" ht="13">
      <c r="A414" s="21"/>
      <c r="B414" s="21"/>
      <c r="C414" s="21"/>
      <c r="D414" s="21"/>
    </row>
    <row r="415" spans="1:4" ht="13">
      <c r="A415" s="21"/>
      <c r="B415" s="21"/>
      <c r="C415" s="21"/>
      <c r="D415" s="21"/>
    </row>
    <row r="416" spans="1:4" ht="13">
      <c r="A416" s="21"/>
      <c r="B416" s="21"/>
      <c r="C416" s="21"/>
      <c r="D416" s="21"/>
    </row>
    <row r="417" spans="1:4" ht="13">
      <c r="A417" s="21"/>
      <c r="B417" s="21"/>
      <c r="C417" s="21"/>
      <c r="D417" s="21"/>
    </row>
    <row r="418" spans="1:4" ht="13">
      <c r="A418" s="21"/>
      <c r="B418" s="21"/>
      <c r="C418" s="21"/>
      <c r="D418" s="21"/>
    </row>
    <row r="419" spans="1:4" ht="13">
      <c r="A419" s="21"/>
      <c r="B419" s="21"/>
      <c r="C419" s="21"/>
      <c r="D419" s="21"/>
    </row>
    <row r="420" spans="1:4" ht="13">
      <c r="A420" s="21"/>
      <c r="B420" s="21"/>
      <c r="C420" s="21"/>
      <c r="D420" s="21"/>
    </row>
    <row r="421" spans="1:4" ht="13">
      <c r="A421" s="21"/>
      <c r="B421" s="21"/>
      <c r="C421" s="21"/>
      <c r="D421" s="21"/>
    </row>
    <row r="422" spans="1:4" ht="13">
      <c r="A422" s="21"/>
      <c r="B422" s="21"/>
      <c r="C422" s="21"/>
      <c r="D422" s="21"/>
    </row>
    <row r="423" spans="1:4" ht="13">
      <c r="A423" s="21"/>
      <c r="B423" s="21"/>
      <c r="C423" s="21"/>
      <c r="D423" s="21"/>
    </row>
    <row r="424" spans="1:4" ht="13">
      <c r="A424" s="21"/>
      <c r="B424" s="21"/>
      <c r="C424" s="21"/>
      <c r="D424" s="21"/>
    </row>
    <row r="425" spans="1:4" ht="13">
      <c r="A425" s="21"/>
      <c r="B425" s="21"/>
      <c r="C425" s="21"/>
      <c r="D425" s="21"/>
    </row>
    <row r="426" spans="1:4" ht="13">
      <c r="A426" s="21"/>
      <c r="B426" s="21"/>
      <c r="C426" s="21"/>
      <c r="D426" s="21"/>
    </row>
    <row r="427" spans="1:4" ht="13">
      <c r="A427" s="21"/>
      <c r="B427" s="21"/>
      <c r="C427" s="21"/>
      <c r="D427" s="21"/>
    </row>
    <row r="428" spans="1:4" ht="13">
      <c r="A428" s="21"/>
      <c r="B428" s="21"/>
      <c r="C428" s="21"/>
      <c r="D428" s="21"/>
    </row>
    <row r="429" spans="1:4" ht="13">
      <c r="A429" s="21"/>
      <c r="B429" s="21"/>
      <c r="C429" s="21"/>
      <c r="D429" s="21"/>
    </row>
    <row r="430" spans="1:4" ht="13">
      <c r="A430" s="21"/>
      <c r="B430" s="21"/>
      <c r="C430" s="21"/>
      <c r="D430" s="21"/>
    </row>
    <row r="431" spans="1:4" ht="13">
      <c r="A431" s="21"/>
      <c r="B431" s="21"/>
      <c r="C431" s="21"/>
      <c r="D431" s="21"/>
    </row>
    <row r="432" spans="1:4" ht="13">
      <c r="A432" s="21"/>
      <c r="B432" s="21"/>
      <c r="C432" s="21"/>
      <c r="D432" s="21"/>
    </row>
    <row r="433" spans="1:4" ht="13">
      <c r="A433" s="21"/>
      <c r="B433" s="21"/>
      <c r="C433" s="21"/>
      <c r="D433" s="21"/>
    </row>
    <row r="434" spans="1:4" ht="13">
      <c r="A434" s="21"/>
      <c r="B434" s="21"/>
      <c r="C434" s="21"/>
      <c r="D434" s="21"/>
    </row>
    <row r="435" spans="1:4" ht="13">
      <c r="A435" s="21"/>
      <c r="B435" s="21"/>
      <c r="C435" s="21"/>
      <c r="D435" s="21"/>
    </row>
    <row r="436" spans="1:4" ht="13">
      <c r="A436" s="21"/>
      <c r="B436" s="21"/>
      <c r="C436" s="21"/>
      <c r="D436" s="21"/>
    </row>
    <row r="437" spans="1:4" ht="13">
      <c r="A437" s="21"/>
      <c r="B437" s="21"/>
      <c r="C437" s="21"/>
      <c r="D437" s="21"/>
    </row>
    <row r="438" spans="1:4" ht="13">
      <c r="A438" s="21"/>
      <c r="B438" s="21"/>
      <c r="C438" s="21"/>
      <c r="D438" s="21"/>
    </row>
    <row r="439" spans="1:4" ht="13">
      <c r="A439" s="21"/>
      <c r="B439" s="21"/>
      <c r="C439" s="21"/>
      <c r="D439" s="21"/>
    </row>
    <row r="440" spans="1:4" ht="13">
      <c r="A440" s="21"/>
      <c r="B440" s="21"/>
      <c r="C440" s="21"/>
      <c r="D440" s="21"/>
    </row>
    <row r="441" spans="1:4" ht="13">
      <c r="A441" s="21"/>
      <c r="B441" s="21"/>
      <c r="C441" s="21"/>
      <c r="D441" s="21"/>
    </row>
    <row r="442" spans="1:4" ht="13">
      <c r="A442" s="21"/>
      <c r="B442" s="21"/>
      <c r="C442" s="21"/>
      <c r="D442" s="21"/>
    </row>
    <row r="443" spans="1:4" ht="13">
      <c r="A443" s="21"/>
      <c r="B443" s="21"/>
      <c r="C443" s="21"/>
      <c r="D443" s="21"/>
    </row>
    <row r="444" spans="1:4" ht="13">
      <c r="A444" s="21"/>
      <c r="B444" s="21"/>
      <c r="C444" s="21"/>
      <c r="D444" s="21"/>
    </row>
    <row r="445" spans="1:4" ht="13">
      <c r="A445" s="21"/>
      <c r="B445" s="21"/>
      <c r="C445" s="21"/>
      <c r="D445" s="21"/>
    </row>
    <row r="446" spans="1:4" ht="13">
      <c r="A446" s="21"/>
      <c r="B446" s="21"/>
      <c r="C446" s="21"/>
      <c r="D446" s="21"/>
    </row>
    <row r="447" spans="1:4" ht="13">
      <c r="A447" s="21"/>
      <c r="B447" s="21"/>
      <c r="C447" s="21"/>
      <c r="D447" s="21"/>
    </row>
    <row r="448" spans="1:4" ht="13">
      <c r="A448" s="21"/>
      <c r="B448" s="21"/>
      <c r="C448" s="21"/>
      <c r="D448" s="21"/>
    </row>
    <row r="449" spans="1:4" ht="13">
      <c r="A449" s="21"/>
      <c r="B449" s="21"/>
      <c r="C449" s="21"/>
      <c r="D449" s="21"/>
    </row>
    <row r="450" spans="1:4" ht="13">
      <c r="A450" s="21"/>
      <c r="B450" s="21"/>
      <c r="C450" s="21"/>
      <c r="D450" s="21"/>
    </row>
    <row r="451" spans="1:4" ht="13">
      <c r="A451" s="21"/>
      <c r="B451" s="21"/>
      <c r="C451" s="21"/>
      <c r="D451" s="21"/>
    </row>
    <row r="452" spans="1:4" ht="13">
      <c r="A452" s="21"/>
      <c r="B452" s="21"/>
      <c r="C452" s="21"/>
      <c r="D452" s="21"/>
    </row>
    <row r="453" spans="1:4" ht="13">
      <c r="A453" s="21"/>
      <c r="B453" s="21"/>
      <c r="C453" s="21"/>
      <c r="D453" s="21"/>
    </row>
    <row r="454" spans="1:4" ht="13">
      <c r="A454" s="21"/>
      <c r="B454" s="21"/>
      <c r="C454" s="21"/>
      <c r="D454" s="21"/>
    </row>
    <row r="455" spans="1:4" ht="13">
      <c r="A455" s="21"/>
      <c r="B455" s="21"/>
      <c r="C455" s="21"/>
      <c r="D455" s="21"/>
    </row>
    <row r="456" spans="1:4" ht="13">
      <c r="A456" s="21"/>
      <c r="B456" s="21"/>
      <c r="C456" s="21"/>
      <c r="D456" s="21"/>
    </row>
    <row r="457" spans="1:4" ht="13">
      <c r="A457" s="21"/>
      <c r="B457" s="21"/>
      <c r="C457" s="21"/>
      <c r="D457" s="21"/>
    </row>
    <row r="458" spans="1:4" ht="13">
      <c r="A458" s="21"/>
      <c r="B458" s="21"/>
      <c r="C458" s="21"/>
      <c r="D458" s="21"/>
    </row>
    <row r="459" spans="1:4" ht="13">
      <c r="A459" s="21"/>
      <c r="B459" s="21"/>
      <c r="C459" s="21"/>
      <c r="D459" s="21"/>
    </row>
    <row r="460" spans="1:4" ht="13">
      <c r="A460" s="21"/>
      <c r="B460" s="21"/>
      <c r="C460" s="21"/>
      <c r="D460" s="21"/>
    </row>
    <row r="461" spans="1:4" ht="13">
      <c r="A461" s="21"/>
      <c r="B461" s="21"/>
      <c r="C461" s="21"/>
      <c r="D461" s="21"/>
    </row>
    <row r="462" spans="1:4" ht="13">
      <c r="A462" s="21"/>
      <c r="B462" s="21"/>
      <c r="C462" s="21"/>
      <c r="D462" s="21"/>
    </row>
    <row r="463" spans="1:4" ht="13">
      <c r="A463" s="21"/>
      <c r="B463" s="21"/>
      <c r="C463" s="21"/>
      <c r="D463" s="21"/>
    </row>
    <row r="464" spans="1:4" ht="13">
      <c r="A464" s="21"/>
      <c r="B464" s="21"/>
      <c r="C464" s="21"/>
      <c r="D464" s="21"/>
    </row>
    <row r="465" spans="1:4" ht="13">
      <c r="A465" s="21"/>
      <c r="B465" s="21"/>
      <c r="C465" s="21"/>
      <c r="D465" s="21"/>
    </row>
    <row r="466" spans="1:4" ht="13">
      <c r="A466" s="21"/>
      <c r="B466" s="21"/>
      <c r="C466" s="21"/>
      <c r="D466" s="21"/>
    </row>
    <row r="467" spans="1:4" ht="13">
      <c r="A467" s="21"/>
      <c r="B467" s="21"/>
      <c r="C467" s="21"/>
      <c r="D467" s="21"/>
    </row>
    <row r="468" spans="1:4" ht="13">
      <c r="A468" s="21"/>
      <c r="B468" s="21"/>
      <c r="C468" s="21"/>
      <c r="D468" s="21"/>
    </row>
    <row r="469" spans="1:4" ht="13">
      <c r="A469" s="21"/>
      <c r="B469" s="21"/>
      <c r="C469" s="21"/>
      <c r="D469" s="21"/>
    </row>
    <row r="470" spans="1:4" ht="13">
      <c r="A470" s="21"/>
      <c r="B470" s="21"/>
      <c r="C470" s="21"/>
      <c r="D470" s="21"/>
    </row>
    <row r="471" spans="1:4" ht="13">
      <c r="A471" s="21"/>
      <c r="B471" s="21"/>
      <c r="C471" s="21"/>
      <c r="D471" s="21"/>
    </row>
    <row r="472" spans="1:4" ht="13">
      <c r="A472" s="21"/>
      <c r="B472" s="21"/>
      <c r="C472" s="21"/>
      <c r="D472" s="21"/>
    </row>
    <row r="473" spans="1:4" ht="13">
      <c r="A473" s="21"/>
      <c r="B473" s="21"/>
      <c r="C473" s="21"/>
      <c r="D473" s="21"/>
    </row>
    <row r="474" spans="1:4" ht="13">
      <c r="A474" s="21"/>
      <c r="B474" s="21"/>
      <c r="C474" s="21"/>
      <c r="D474" s="21"/>
    </row>
    <row r="475" spans="1:4" ht="13">
      <c r="A475" s="21"/>
      <c r="B475" s="21"/>
      <c r="C475" s="21"/>
      <c r="D475" s="21"/>
    </row>
    <row r="476" spans="1:4" ht="13">
      <c r="A476" s="21"/>
      <c r="B476" s="21"/>
      <c r="C476" s="21"/>
      <c r="D476" s="21"/>
    </row>
    <row r="477" spans="1:4" ht="13">
      <c r="A477" s="21"/>
      <c r="B477" s="21"/>
      <c r="C477" s="21"/>
      <c r="D477" s="21"/>
    </row>
    <row r="478" spans="1:4" ht="13">
      <c r="A478" s="21"/>
      <c r="B478" s="21"/>
      <c r="C478" s="21"/>
      <c r="D478" s="21"/>
    </row>
    <row r="479" spans="1:4" ht="13">
      <c r="A479" s="21"/>
      <c r="B479" s="21"/>
      <c r="C479" s="21"/>
      <c r="D479" s="21"/>
    </row>
    <row r="480" spans="1:4" ht="13">
      <c r="A480" s="21"/>
      <c r="B480" s="21"/>
      <c r="C480" s="21"/>
      <c r="D480" s="21"/>
    </row>
    <row r="481" spans="1:4" ht="13">
      <c r="A481" s="21"/>
      <c r="B481" s="21"/>
      <c r="C481" s="21"/>
      <c r="D481" s="21"/>
    </row>
    <row r="482" spans="1:4" ht="13">
      <c r="A482" s="21"/>
      <c r="B482" s="21"/>
      <c r="C482" s="21"/>
      <c r="D482" s="21"/>
    </row>
    <row r="483" spans="1:4" ht="13">
      <c r="A483" s="21"/>
      <c r="B483" s="21"/>
      <c r="C483" s="21"/>
      <c r="D483" s="21"/>
    </row>
    <row r="484" spans="1:4" ht="13">
      <c r="A484" s="21"/>
      <c r="B484" s="21"/>
      <c r="C484" s="21"/>
      <c r="D484" s="21"/>
    </row>
    <row r="485" spans="1:4" ht="13">
      <c r="A485" s="21"/>
      <c r="B485" s="21"/>
      <c r="C485" s="21"/>
      <c r="D485" s="21"/>
    </row>
    <row r="486" spans="1:4" ht="13">
      <c r="A486" s="21"/>
      <c r="B486" s="21"/>
      <c r="C486" s="21"/>
      <c r="D486" s="21"/>
    </row>
    <row r="487" spans="1:4" ht="13">
      <c r="A487" s="21"/>
      <c r="B487" s="21"/>
      <c r="C487" s="21"/>
      <c r="D487" s="21"/>
    </row>
    <row r="488" spans="1:4" ht="13">
      <c r="A488" s="21"/>
      <c r="B488" s="21"/>
      <c r="C488" s="21"/>
      <c r="D488" s="21"/>
    </row>
    <row r="489" spans="1:4" ht="13">
      <c r="A489" s="21"/>
      <c r="B489" s="21"/>
      <c r="C489" s="21"/>
      <c r="D489" s="21"/>
    </row>
    <row r="490" spans="1:4" ht="13">
      <c r="A490" s="21"/>
      <c r="B490" s="21"/>
      <c r="C490" s="21"/>
      <c r="D490" s="21"/>
    </row>
    <row r="491" spans="1:4" ht="13">
      <c r="A491" s="21"/>
      <c r="B491" s="21"/>
      <c r="C491" s="21"/>
      <c r="D491" s="21"/>
    </row>
    <row r="492" spans="1:4" ht="13">
      <c r="A492" s="21"/>
      <c r="B492" s="21"/>
      <c r="C492" s="21"/>
      <c r="D492" s="21"/>
    </row>
    <row r="493" spans="1:4" ht="13">
      <c r="A493" s="21"/>
      <c r="B493" s="21"/>
      <c r="C493" s="21"/>
      <c r="D493" s="21"/>
    </row>
    <row r="494" spans="1:4" ht="13">
      <c r="A494" s="21"/>
      <c r="B494" s="21"/>
      <c r="C494" s="21"/>
      <c r="D494" s="21"/>
    </row>
    <row r="495" spans="1:4" ht="13">
      <c r="A495" s="21"/>
      <c r="B495" s="21"/>
      <c r="C495" s="21"/>
      <c r="D495" s="21"/>
    </row>
    <row r="496" spans="1:4" ht="13">
      <c r="A496" s="21"/>
      <c r="B496" s="21"/>
      <c r="C496" s="21"/>
      <c r="D496" s="21"/>
    </row>
    <row r="497" spans="1:4" ht="13">
      <c r="A497" s="21"/>
      <c r="B497" s="21"/>
      <c r="C497" s="21"/>
      <c r="D497" s="21"/>
    </row>
    <row r="498" spans="1:4" ht="13">
      <c r="A498" s="21"/>
      <c r="B498" s="21"/>
      <c r="C498" s="21"/>
      <c r="D498" s="21"/>
    </row>
    <row r="499" spans="1:4" ht="13">
      <c r="A499" s="21"/>
      <c r="B499" s="21"/>
      <c r="C499" s="21"/>
      <c r="D499" s="21"/>
    </row>
    <row r="500" spans="1:4" ht="13">
      <c r="A500" s="21"/>
      <c r="B500" s="21"/>
      <c r="C500" s="21"/>
      <c r="D500" s="21"/>
    </row>
    <row r="501" spans="1:4" ht="13">
      <c r="A501" s="21"/>
      <c r="B501" s="21"/>
      <c r="C501" s="21"/>
      <c r="D501" s="21"/>
    </row>
    <row r="502" spans="1:4" ht="13">
      <c r="A502" s="21"/>
      <c r="B502" s="21"/>
      <c r="C502" s="21"/>
      <c r="D502" s="21"/>
    </row>
    <row r="503" spans="1:4" ht="13">
      <c r="A503" s="21"/>
      <c r="B503" s="21"/>
      <c r="C503" s="21"/>
      <c r="D503" s="21"/>
    </row>
    <row r="504" spans="1:4" ht="13">
      <c r="A504" s="21"/>
      <c r="B504" s="21"/>
      <c r="C504" s="21"/>
      <c r="D504" s="21"/>
    </row>
    <row r="505" spans="1:4" ht="13">
      <c r="A505" s="21"/>
      <c r="B505" s="21"/>
      <c r="C505" s="21"/>
      <c r="D505" s="21"/>
    </row>
    <row r="506" spans="1:4" ht="13">
      <c r="A506" s="21"/>
      <c r="B506" s="21"/>
      <c r="C506" s="21"/>
      <c r="D506" s="21"/>
    </row>
    <row r="507" spans="1:4" ht="13">
      <c r="A507" s="21"/>
      <c r="B507" s="21"/>
      <c r="C507" s="21"/>
      <c r="D507" s="21"/>
    </row>
    <row r="508" spans="1:4" ht="13">
      <c r="A508" s="21"/>
      <c r="B508" s="21"/>
      <c r="C508" s="21"/>
      <c r="D508" s="21"/>
    </row>
    <row r="509" spans="1:4" ht="13">
      <c r="A509" s="21"/>
      <c r="B509" s="21"/>
      <c r="C509" s="21"/>
      <c r="D509" s="21"/>
    </row>
    <row r="510" spans="1:4" ht="13">
      <c r="A510" s="21"/>
      <c r="B510" s="21"/>
      <c r="C510" s="21"/>
      <c r="D510" s="21"/>
    </row>
    <row r="511" spans="1:4" ht="13">
      <c r="A511" s="21"/>
      <c r="B511" s="21"/>
      <c r="C511" s="21"/>
      <c r="D511" s="21"/>
    </row>
    <row r="512" spans="1:4" ht="13">
      <c r="A512" s="21"/>
      <c r="B512" s="21"/>
      <c r="C512" s="21"/>
      <c r="D512" s="21"/>
    </row>
    <row r="513" spans="1:4" ht="13">
      <c r="A513" s="21"/>
      <c r="B513" s="21"/>
      <c r="C513" s="21"/>
      <c r="D513" s="21"/>
    </row>
    <row r="514" spans="1:4" ht="13">
      <c r="A514" s="21"/>
      <c r="B514" s="21"/>
      <c r="C514" s="21"/>
      <c r="D514" s="21"/>
    </row>
    <row r="515" spans="1:4" ht="13">
      <c r="A515" s="21"/>
      <c r="B515" s="21"/>
      <c r="C515" s="21"/>
      <c r="D515" s="21"/>
    </row>
    <row r="516" spans="1:4" ht="13">
      <c r="A516" s="21"/>
      <c r="B516" s="21"/>
      <c r="C516" s="21"/>
      <c r="D516" s="21"/>
    </row>
    <row r="517" spans="1:4" ht="13">
      <c r="A517" s="21"/>
      <c r="B517" s="21"/>
      <c r="C517" s="21"/>
      <c r="D517" s="21"/>
    </row>
    <row r="518" spans="1:4" ht="13">
      <c r="A518" s="21"/>
      <c r="B518" s="21"/>
      <c r="C518" s="21"/>
      <c r="D518" s="21"/>
    </row>
    <row r="519" spans="1:4" ht="13">
      <c r="A519" s="21"/>
      <c r="B519" s="21"/>
      <c r="C519" s="21"/>
      <c r="D519" s="21"/>
    </row>
    <row r="520" spans="1:4" ht="13">
      <c r="A520" s="21"/>
      <c r="B520" s="21"/>
      <c r="C520" s="21"/>
      <c r="D520" s="21"/>
    </row>
    <row r="521" spans="1:4" ht="13">
      <c r="A521" s="21"/>
      <c r="B521" s="21"/>
      <c r="C521" s="21"/>
      <c r="D521" s="21"/>
    </row>
    <row r="522" spans="1:4" ht="13">
      <c r="A522" s="21"/>
      <c r="B522" s="21"/>
      <c r="C522" s="21"/>
      <c r="D522" s="21"/>
    </row>
    <row r="523" spans="1:4" ht="13">
      <c r="A523" s="21"/>
      <c r="B523" s="21"/>
      <c r="C523" s="21"/>
      <c r="D523" s="21"/>
    </row>
    <row r="524" spans="1:4" ht="13">
      <c r="A524" s="21"/>
      <c r="B524" s="21"/>
      <c r="C524" s="21"/>
      <c r="D524" s="21"/>
    </row>
    <row r="525" spans="1:4" ht="13">
      <c r="A525" s="21"/>
      <c r="B525" s="21"/>
      <c r="C525" s="21"/>
      <c r="D525" s="21"/>
    </row>
    <row r="526" spans="1:4" ht="13">
      <c r="A526" s="21"/>
      <c r="B526" s="21"/>
      <c r="C526" s="21"/>
      <c r="D526" s="21"/>
    </row>
    <row r="527" spans="1:4" ht="13">
      <c r="A527" s="21"/>
      <c r="B527" s="21"/>
      <c r="C527" s="21"/>
      <c r="D527" s="21"/>
    </row>
    <row r="528" spans="1:4" ht="13">
      <c r="A528" s="21"/>
      <c r="B528" s="21"/>
      <c r="C528" s="21"/>
      <c r="D528" s="21"/>
    </row>
    <row r="529" spans="1:4" ht="13">
      <c r="A529" s="21"/>
      <c r="B529" s="21"/>
      <c r="C529" s="21"/>
      <c r="D529" s="21"/>
    </row>
    <row r="530" spans="1:4" ht="13">
      <c r="A530" s="21"/>
      <c r="B530" s="21"/>
      <c r="C530" s="21"/>
      <c r="D530" s="21"/>
    </row>
    <row r="531" spans="1:4" ht="13">
      <c r="A531" s="21"/>
      <c r="B531" s="21"/>
      <c r="C531" s="21"/>
      <c r="D531" s="21"/>
    </row>
    <row r="532" spans="1:4" ht="13">
      <c r="A532" s="21"/>
      <c r="B532" s="21"/>
      <c r="C532" s="21"/>
      <c r="D532" s="21"/>
    </row>
    <row r="533" spans="1:4" ht="13">
      <c r="A533" s="21"/>
      <c r="B533" s="21"/>
      <c r="C533" s="21"/>
      <c r="D533" s="21"/>
    </row>
    <row r="534" spans="1:4" ht="13">
      <c r="A534" s="21"/>
      <c r="B534" s="21"/>
      <c r="C534" s="21"/>
      <c r="D534" s="21"/>
    </row>
    <row r="535" spans="1:4" ht="13">
      <c r="A535" s="21"/>
      <c r="B535" s="21"/>
      <c r="C535" s="21"/>
      <c r="D535" s="21"/>
    </row>
    <row r="536" spans="1:4" ht="13">
      <c r="A536" s="21"/>
      <c r="B536" s="21"/>
      <c r="C536" s="21"/>
      <c r="D536" s="21"/>
    </row>
    <row r="537" spans="1:4" ht="13">
      <c r="A537" s="21"/>
      <c r="B537" s="21"/>
      <c r="C537" s="21"/>
      <c r="D537" s="21"/>
    </row>
    <row r="538" spans="1:4" ht="13">
      <c r="A538" s="21"/>
      <c r="B538" s="21"/>
      <c r="C538" s="21"/>
      <c r="D538" s="21"/>
    </row>
    <row r="539" spans="1:4" ht="13">
      <c r="A539" s="21"/>
      <c r="B539" s="21"/>
      <c r="C539" s="21"/>
      <c r="D539" s="21"/>
    </row>
    <row r="540" spans="1:4" ht="13">
      <c r="A540" s="21"/>
      <c r="B540" s="21"/>
      <c r="C540" s="21"/>
      <c r="D540" s="21"/>
    </row>
    <row r="541" spans="1:4" ht="13">
      <c r="A541" s="21"/>
      <c r="B541" s="21"/>
      <c r="C541" s="21"/>
      <c r="D541" s="21"/>
    </row>
    <row r="542" spans="1:4" ht="13">
      <c r="A542" s="21"/>
      <c r="B542" s="21"/>
      <c r="C542" s="21"/>
      <c r="D542" s="21"/>
    </row>
    <row r="543" spans="1:4" ht="13">
      <c r="A543" s="21"/>
      <c r="B543" s="21"/>
      <c r="C543" s="21"/>
      <c r="D543" s="21"/>
    </row>
    <row r="544" spans="1:4" ht="13">
      <c r="A544" s="21"/>
      <c r="B544" s="21"/>
      <c r="C544" s="21"/>
      <c r="D544" s="21"/>
    </row>
    <row r="545" spans="1:4" ht="13">
      <c r="A545" s="21"/>
      <c r="B545" s="21"/>
      <c r="C545" s="21"/>
      <c r="D545" s="21"/>
    </row>
    <row r="546" spans="1:4" ht="13">
      <c r="A546" s="21"/>
      <c r="B546" s="21"/>
      <c r="C546" s="21"/>
      <c r="D546" s="21"/>
    </row>
    <row r="547" spans="1:4" ht="13">
      <c r="A547" s="21"/>
      <c r="B547" s="21"/>
      <c r="C547" s="21"/>
      <c r="D547" s="21"/>
    </row>
    <row r="548" spans="1:4" ht="13">
      <c r="A548" s="21"/>
      <c r="B548" s="21"/>
      <c r="C548" s="21"/>
      <c r="D548" s="21"/>
    </row>
    <row r="549" spans="1:4" ht="13">
      <c r="A549" s="21"/>
      <c r="B549" s="21"/>
      <c r="C549" s="21"/>
      <c r="D549" s="21"/>
    </row>
    <row r="550" spans="1:4" ht="13">
      <c r="A550" s="21"/>
      <c r="B550" s="21"/>
      <c r="C550" s="21"/>
      <c r="D550" s="21"/>
    </row>
    <row r="551" spans="1:4" ht="13">
      <c r="A551" s="21"/>
      <c r="B551" s="21"/>
      <c r="C551" s="21"/>
      <c r="D551" s="21"/>
    </row>
    <row r="552" spans="1:4" ht="13">
      <c r="A552" s="21"/>
      <c r="B552" s="21"/>
      <c r="C552" s="21"/>
      <c r="D552" s="21"/>
    </row>
    <row r="553" spans="1:4" ht="13">
      <c r="A553" s="21"/>
      <c r="B553" s="21"/>
      <c r="C553" s="21"/>
      <c r="D553" s="21"/>
    </row>
    <row r="554" spans="1:4" ht="13">
      <c r="A554" s="21"/>
      <c r="B554" s="21"/>
      <c r="C554" s="21"/>
      <c r="D554" s="21"/>
    </row>
    <row r="555" spans="1:4" ht="13">
      <c r="A555" s="21"/>
      <c r="B555" s="21"/>
      <c r="C555" s="21"/>
      <c r="D555" s="21"/>
    </row>
    <row r="556" spans="1:4" ht="13">
      <c r="A556" s="21"/>
      <c r="B556" s="21"/>
      <c r="C556" s="21"/>
      <c r="D556" s="21"/>
    </row>
    <row r="557" spans="1:4" ht="13">
      <c r="A557" s="21"/>
      <c r="B557" s="21"/>
      <c r="C557" s="21"/>
      <c r="D557" s="21"/>
    </row>
    <row r="558" spans="1:4" ht="13">
      <c r="A558" s="21"/>
      <c r="B558" s="21"/>
      <c r="C558" s="21"/>
      <c r="D558" s="21"/>
    </row>
    <row r="559" spans="1:4" ht="13">
      <c r="A559" s="21"/>
      <c r="B559" s="21"/>
      <c r="C559" s="21"/>
      <c r="D559" s="21"/>
    </row>
    <row r="560" spans="1:4" ht="13">
      <c r="A560" s="21"/>
      <c r="B560" s="21"/>
      <c r="C560" s="21"/>
      <c r="D560" s="21"/>
    </row>
    <row r="561" spans="1:4" ht="13">
      <c r="A561" s="21"/>
      <c r="B561" s="21"/>
      <c r="C561" s="21"/>
      <c r="D561" s="21"/>
    </row>
    <row r="562" spans="1:4" ht="13">
      <c r="A562" s="21"/>
      <c r="B562" s="21"/>
      <c r="C562" s="21"/>
      <c r="D562" s="21"/>
    </row>
    <row r="563" spans="1:4" ht="13">
      <c r="A563" s="21"/>
      <c r="B563" s="21"/>
      <c r="C563" s="21"/>
      <c r="D563" s="21"/>
    </row>
    <row r="564" spans="1:4" ht="13">
      <c r="A564" s="21"/>
      <c r="B564" s="21"/>
      <c r="C564" s="21"/>
      <c r="D564" s="21"/>
    </row>
    <row r="565" spans="1:4" ht="13">
      <c r="A565" s="21"/>
      <c r="B565" s="21"/>
      <c r="C565" s="21"/>
      <c r="D565" s="21"/>
    </row>
    <row r="566" spans="1:4" ht="13">
      <c r="A566" s="21"/>
      <c r="B566" s="21"/>
      <c r="C566" s="21"/>
      <c r="D566" s="21"/>
    </row>
    <row r="567" spans="1:4" ht="13">
      <c r="A567" s="21"/>
      <c r="B567" s="21"/>
      <c r="C567" s="21"/>
      <c r="D567" s="21"/>
    </row>
    <row r="568" spans="1:4" ht="13">
      <c r="A568" s="21"/>
      <c r="B568" s="21"/>
      <c r="C568" s="21"/>
      <c r="D568" s="21"/>
    </row>
    <row r="569" spans="1:4" ht="13">
      <c r="A569" s="21"/>
      <c r="B569" s="21"/>
      <c r="C569" s="21"/>
      <c r="D569" s="21"/>
    </row>
    <row r="570" spans="1:4" ht="13">
      <c r="A570" s="21"/>
      <c r="B570" s="21"/>
      <c r="C570" s="21"/>
      <c r="D570" s="21"/>
    </row>
    <row r="571" spans="1:4" ht="13">
      <c r="A571" s="21"/>
      <c r="B571" s="21"/>
      <c r="C571" s="21"/>
      <c r="D571" s="21"/>
    </row>
    <row r="572" spans="1:4" ht="13">
      <c r="A572" s="21"/>
      <c r="B572" s="21"/>
      <c r="C572" s="21"/>
      <c r="D572" s="21"/>
    </row>
    <row r="573" spans="1:4" ht="13">
      <c r="A573" s="21"/>
      <c r="B573" s="21"/>
      <c r="C573" s="21"/>
      <c r="D573" s="21"/>
    </row>
    <row r="574" spans="1:4" ht="13">
      <c r="A574" s="21"/>
      <c r="B574" s="21"/>
      <c r="C574" s="21"/>
      <c r="D574" s="21"/>
    </row>
    <row r="575" spans="1:4" ht="13">
      <c r="A575" s="21"/>
      <c r="B575" s="21"/>
      <c r="C575" s="21"/>
      <c r="D575" s="21"/>
    </row>
    <row r="576" spans="1:4" ht="13">
      <c r="A576" s="21"/>
      <c r="B576" s="21"/>
      <c r="C576" s="21"/>
      <c r="D576" s="21"/>
    </row>
    <row r="577" spans="1:4" ht="13">
      <c r="A577" s="21"/>
      <c r="B577" s="21"/>
      <c r="C577" s="21"/>
      <c r="D577" s="21"/>
    </row>
    <row r="578" spans="1:4" ht="13">
      <c r="A578" s="21"/>
      <c r="B578" s="21"/>
      <c r="C578" s="21"/>
      <c r="D578" s="21"/>
    </row>
    <row r="579" spans="1:4" ht="13">
      <c r="A579" s="21"/>
      <c r="B579" s="21"/>
      <c r="C579" s="21"/>
      <c r="D579" s="21"/>
    </row>
    <row r="580" spans="1:4" ht="13">
      <c r="A580" s="21"/>
      <c r="B580" s="21"/>
      <c r="C580" s="21"/>
      <c r="D580" s="21"/>
    </row>
    <row r="581" spans="1:4" ht="13">
      <c r="A581" s="21"/>
      <c r="B581" s="21"/>
      <c r="C581" s="21"/>
      <c r="D581" s="21"/>
    </row>
    <row r="582" spans="1:4" ht="13">
      <c r="A582" s="21"/>
      <c r="B582" s="21"/>
      <c r="C582" s="21"/>
      <c r="D582" s="21"/>
    </row>
    <row r="583" spans="1:4" ht="13">
      <c r="A583" s="21"/>
      <c r="B583" s="21"/>
      <c r="C583" s="21"/>
      <c r="D583" s="21"/>
    </row>
    <row r="584" spans="1:4" ht="13">
      <c r="A584" s="21"/>
      <c r="B584" s="21"/>
      <c r="C584" s="21"/>
      <c r="D584" s="21"/>
    </row>
    <row r="585" spans="1:4" ht="13">
      <c r="A585" s="21"/>
      <c r="B585" s="21"/>
      <c r="C585" s="21"/>
      <c r="D585" s="21"/>
    </row>
    <row r="586" spans="1:4" ht="13">
      <c r="A586" s="21"/>
      <c r="B586" s="21"/>
      <c r="C586" s="21"/>
      <c r="D586" s="21"/>
    </row>
    <row r="587" spans="1:4" ht="13">
      <c r="A587" s="21"/>
      <c r="B587" s="21"/>
      <c r="C587" s="21"/>
      <c r="D587" s="21"/>
    </row>
    <row r="588" spans="1:4" ht="13">
      <c r="A588" s="21"/>
      <c r="B588" s="21"/>
      <c r="C588" s="21"/>
      <c r="D588" s="21"/>
    </row>
    <row r="589" spans="1:4" ht="13">
      <c r="A589" s="21"/>
      <c r="B589" s="21"/>
      <c r="C589" s="21"/>
      <c r="D589" s="21"/>
    </row>
    <row r="590" spans="1:4" ht="13">
      <c r="A590" s="21"/>
      <c r="B590" s="21"/>
      <c r="C590" s="21"/>
      <c r="D590" s="21"/>
    </row>
    <row r="591" spans="1:4" ht="13">
      <c r="A591" s="21"/>
      <c r="B591" s="21"/>
      <c r="C591" s="21"/>
      <c r="D591" s="21"/>
    </row>
    <row r="592" spans="1:4" ht="13">
      <c r="A592" s="21"/>
      <c r="B592" s="21"/>
      <c r="C592" s="21"/>
      <c r="D592" s="21"/>
    </row>
    <row r="593" spans="1:4" ht="13">
      <c r="A593" s="21"/>
      <c r="B593" s="21"/>
      <c r="C593" s="21"/>
      <c r="D593" s="21"/>
    </row>
    <row r="594" spans="1:4" ht="13">
      <c r="A594" s="21"/>
      <c r="B594" s="21"/>
      <c r="C594" s="21"/>
      <c r="D594" s="21"/>
    </row>
    <row r="595" spans="1:4" ht="13">
      <c r="A595" s="21"/>
      <c r="B595" s="21"/>
      <c r="C595" s="21"/>
      <c r="D595" s="21"/>
    </row>
    <row r="596" spans="1:4" ht="13">
      <c r="A596" s="21"/>
      <c r="B596" s="21"/>
      <c r="C596" s="21"/>
      <c r="D596" s="21"/>
    </row>
    <row r="597" spans="1:4" ht="13">
      <c r="A597" s="21"/>
      <c r="B597" s="21"/>
      <c r="C597" s="21"/>
      <c r="D597" s="21"/>
    </row>
    <row r="598" spans="1:4" ht="13">
      <c r="A598" s="21"/>
      <c r="B598" s="21"/>
      <c r="C598" s="21"/>
      <c r="D598" s="21"/>
    </row>
    <row r="599" spans="1:4" ht="13">
      <c r="A599" s="21"/>
      <c r="B599" s="21"/>
      <c r="C599" s="21"/>
      <c r="D599" s="21"/>
    </row>
    <row r="600" spans="1:4" ht="13">
      <c r="A600" s="21"/>
      <c r="B600" s="21"/>
      <c r="C600" s="21"/>
      <c r="D600" s="21"/>
    </row>
    <row r="601" spans="1:4" ht="13">
      <c r="A601" s="21"/>
      <c r="B601" s="21"/>
      <c r="C601" s="21"/>
      <c r="D601" s="21"/>
    </row>
    <row r="602" spans="1:4" ht="13">
      <c r="A602" s="21"/>
      <c r="B602" s="21"/>
      <c r="C602" s="21"/>
      <c r="D602" s="21"/>
    </row>
    <row r="603" spans="1:4" ht="13">
      <c r="A603" s="21"/>
      <c r="B603" s="21"/>
      <c r="C603" s="21"/>
      <c r="D603" s="21"/>
    </row>
    <row r="604" spans="1:4" ht="13">
      <c r="A604" s="21"/>
      <c r="B604" s="21"/>
      <c r="C604" s="21"/>
      <c r="D604" s="21"/>
    </row>
    <row r="605" spans="1:4" ht="13">
      <c r="A605" s="21"/>
      <c r="B605" s="21"/>
      <c r="C605" s="21"/>
      <c r="D605" s="21"/>
    </row>
    <row r="606" spans="1:4" ht="13">
      <c r="A606" s="21"/>
      <c r="B606" s="21"/>
      <c r="C606" s="21"/>
      <c r="D606" s="21"/>
    </row>
    <row r="607" spans="1:4" ht="13">
      <c r="A607" s="21"/>
      <c r="B607" s="21"/>
      <c r="C607" s="21"/>
      <c r="D607" s="21"/>
    </row>
    <row r="608" spans="1:4" ht="13">
      <c r="A608" s="21"/>
      <c r="B608" s="21"/>
      <c r="C608" s="21"/>
      <c r="D608" s="21"/>
    </row>
    <row r="609" spans="1:4" ht="13">
      <c r="A609" s="21"/>
      <c r="B609" s="21"/>
      <c r="C609" s="21"/>
      <c r="D609" s="21"/>
    </row>
    <row r="610" spans="1:4" ht="13">
      <c r="A610" s="21"/>
      <c r="B610" s="21"/>
      <c r="C610" s="21"/>
      <c r="D610" s="21"/>
    </row>
    <row r="611" spans="1:4" ht="13">
      <c r="A611" s="21"/>
      <c r="B611" s="21"/>
      <c r="C611" s="21"/>
      <c r="D611" s="21"/>
    </row>
    <row r="612" spans="1:4" ht="13">
      <c r="A612" s="21"/>
      <c r="B612" s="21"/>
      <c r="C612" s="21"/>
      <c r="D612" s="21"/>
    </row>
    <row r="613" spans="1:4" ht="13">
      <c r="A613" s="21"/>
      <c r="B613" s="21"/>
      <c r="C613" s="21"/>
      <c r="D613" s="21"/>
    </row>
    <row r="614" spans="1:4" ht="13">
      <c r="A614" s="21"/>
      <c r="B614" s="21"/>
      <c r="C614" s="21"/>
      <c r="D614" s="21"/>
    </row>
    <row r="615" spans="1:4" ht="13">
      <c r="A615" s="21"/>
      <c r="B615" s="21"/>
      <c r="C615" s="21"/>
      <c r="D615" s="21"/>
    </row>
    <row r="616" spans="1:4" ht="13">
      <c r="A616" s="21"/>
      <c r="B616" s="21"/>
      <c r="C616" s="21"/>
      <c r="D616" s="21"/>
    </row>
    <row r="617" spans="1:4" ht="13">
      <c r="A617" s="21"/>
      <c r="B617" s="21"/>
      <c r="C617" s="21"/>
      <c r="D617" s="21"/>
    </row>
    <row r="618" spans="1:4" ht="13">
      <c r="A618" s="21"/>
      <c r="B618" s="21"/>
      <c r="C618" s="21"/>
      <c r="D618" s="21"/>
    </row>
    <row r="619" spans="1:4" ht="13">
      <c r="A619" s="21"/>
      <c r="B619" s="21"/>
      <c r="C619" s="21"/>
      <c r="D619" s="21"/>
    </row>
    <row r="620" spans="1:4" ht="13">
      <c r="A620" s="21"/>
      <c r="B620" s="21"/>
      <c r="C620" s="21"/>
      <c r="D620" s="21"/>
    </row>
    <row r="621" spans="1:4" ht="13">
      <c r="A621" s="21"/>
      <c r="B621" s="21"/>
      <c r="C621" s="21"/>
      <c r="D621" s="21"/>
    </row>
    <row r="622" spans="1:4" ht="13">
      <c r="A622" s="21"/>
      <c r="B622" s="21"/>
      <c r="C622" s="21"/>
      <c r="D622" s="21"/>
    </row>
    <row r="623" spans="1:4" ht="13">
      <c r="A623" s="21"/>
      <c r="B623" s="21"/>
      <c r="C623" s="21"/>
      <c r="D623" s="21"/>
    </row>
    <row r="624" spans="1:4" ht="13">
      <c r="A624" s="21"/>
      <c r="B624" s="21"/>
      <c r="C624" s="21"/>
      <c r="D624" s="21"/>
    </row>
    <row r="625" spans="1:4" ht="13">
      <c r="A625" s="21"/>
      <c r="B625" s="21"/>
      <c r="C625" s="21"/>
      <c r="D625" s="21"/>
    </row>
    <row r="626" spans="1:4" ht="13">
      <c r="A626" s="21"/>
      <c r="B626" s="21"/>
      <c r="C626" s="21"/>
      <c r="D626" s="21"/>
    </row>
    <row r="627" spans="1:4" ht="13">
      <c r="A627" s="21"/>
      <c r="B627" s="21"/>
      <c r="C627" s="21"/>
      <c r="D627" s="21"/>
    </row>
    <row r="628" spans="1:4" ht="13">
      <c r="A628" s="21"/>
      <c r="B628" s="21"/>
      <c r="C628" s="21"/>
      <c r="D628" s="21"/>
    </row>
    <row r="629" spans="1:4" ht="13">
      <c r="A629" s="21"/>
      <c r="B629" s="21"/>
      <c r="C629" s="21"/>
      <c r="D629" s="21"/>
    </row>
    <row r="630" spans="1:4" ht="13">
      <c r="A630" s="21"/>
      <c r="B630" s="21"/>
      <c r="C630" s="21"/>
      <c r="D630" s="21"/>
    </row>
    <row r="631" spans="1:4" ht="13">
      <c r="A631" s="21"/>
      <c r="B631" s="21"/>
      <c r="C631" s="21"/>
      <c r="D631" s="21"/>
    </row>
    <row r="632" spans="1:4" ht="13">
      <c r="A632" s="21"/>
      <c r="B632" s="21"/>
      <c r="C632" s="21"/>
      <c r="D632" s="21"/>
    </row>
    <row r="633" spans="1:4" ht="13">
      <c r="A633" s="21"/>
      <c r="B633" s="21"/>
      <c r="C633" s="21"/>
      <c r="D633" s="21"/>
    </row>
    <row r="634" spans="1:4" ht="13">
      <c r="A634" s="21"/>
      <c r="B634" s="21"/>
      <c r="C634" s="21"/>
      <c r="D634" s="21"/>
    </row>
    <row r="635" spans="1:4" ht="13">
      <c r="A635" s="21"/>
      <c r="B635" s="21"/>
      <c r="C635" s="21"/>
      <c r="D635" s="21"/>
    </row>
    <row r="636" spans="1:4" ht="13">
      <c r="A636" s="21"/>
      <c r="B636" s="21"/>
      <c r="C636" s="21"/>
      <c r="D636" s="21"/>
    </row>
    <row r="637" spans="1:4" ht="13">
      <c r="A637" s="21"/>
      <c r="B637" s="21"/>
      <c r="C637" s="21"/>
      <c r="D637" s="21"/>
    </row>
    <row r="638" spans="1:4" ht="13">
      <c r="A638" s="21"/>
      <c r="B638" s="21"/>
      <c r="C638" s="21"/>
      <c r="D638" s="21"/>
    </row>
    <row r="639" spans="1:4" ht="13">
      <c r="A639" s="21"/>
      <c r="B639" s="21"/>
      <c r="C639" s="21"/>
      <c r="D639" s="21"/>
    </row>
    <row r="640" spans="1:4" ht="13">
      <c r="A640" s="21"/>
      <c r="B640" s="21"/>
      <c r="C640" s="21"/>
      <c r="D640" s="21"/>
    </row>
    <row r="641" spans="1:4" ht="13">
      <c r="A641" s="21"/>
      <c r="B641" s="21"/>
      <c r="C641" s="21"/>
      <c r="D641" s="21"/>
    </row>
    <row r="642" spans="1:4" ht="13">
      <c r="A642" s="21"/>
      <c r="B642" s="21"/>
      <c r="C642" s="21"/>
      <c r="D642" s="21"/>
    </row>
    <row r="643" spans="1:4" ht="13">
      <c r="A643" s="21"/>
      <c r="B643" s="21"/>
      <c r="C643" s="21"/>
      <c r="D643" s="21"/>
    </row>
    <row r="644" spans="1:4" ht="13">
      <c r="A644" s="21"/>
      <c r="B644" s="21"/>
      <c r="C644" s="21"/>
      <c r="D644" s="21"/>
    </row>
    <row r="645" spans="1:4" ht="13">
      <c r="A645" s="21"/>
      <c r="B645" s="21"/>
      <c r="C645" s="21"/>
      <c r="D645" s="21"/>
    </row>
    <row r="646" spans="1:4" ht="13">
      <c r="A646" s="21"/>
      <c r="B646" s="21"/>
      <c r="C646" s="21"/>
      <c r="D646" s="21"/>
    </row>
    <row r="647" spans="1:4" ht="13">
      <c r="A647" s="21"/>
      <c r="B647" s="21"/>
      <c r="C647" s="21"/>
      <c r="D647" s="21"/>
    </row>
    <row r="648" spans="1:4" ht="13">
      <c r="A648" s="21"/>
      <c r="B648" s="21"/>
      <c r="C648" s="21"/>
      <c r="D648" s="21"/>
    </row>
    <row r="649" spans="1:4" ht="13">
      <c r="A649" s="21"/>
      <c r="B649" s="21"/>
      <c r="C649" s="21"/>
      <c r="D649" s="21"/>
    </row>
    <row r="650" spans="1:4" ht="13">
      <c r="A650" s="21"/>
      <c r="B650" s="21"/>
      <c r="C650" s="21"/>
      <c r="D650" s="21"/>
    </row>
    <row r="651" spans="1:4" ht="13">
      <c r="A651" s="21"/>
      <c r="B651" s="21"/>
      <c r="C651" s="21"/>
      <c r="D651" s="21"/>
    </row>
    <row r="652" spans="1:4" ht="13">
      <c r="A652" s="21"/>
      <c r="B652" s="21"/>
      <c r="C652" s="21"/>
      <c r="D652" s="21"/>
    </row>
    <row r="653" spans="1:4" ht="13">
      <c r="A653" s="21"/>
      <c r="B653" s="21"/>
      <c r="C653" s="21"/>
      <c r="D653" s="21"/>
    </row>
    <row r="654" spans="1:4" ht="13">
      <c r="A654" s="21"/>
      <c r="B654" s="21"/>
      <c r="C654" s="21"/>
      <c r="D654" s="21"/>
    </row>
    <row r="655" spans="1:4" ht="13">
      <c r="A655" s="21"/>
      <c r="B655" s="21"/>
      <c r="C655" s="21"/>
      <c r="D655" s="21"/>
    </row>
    <row r="656" spans="1:4" ht="13">
      <c r="A656" s="21"/>
      <c r="B656" s="21"/>
      <c r="C656" s="21"/>
      <c r="D656" s="21"/>
    </row>
    <row r="657" spans="1:4" ht="13">
      <c r="A657" s="21"/>
      <c r="B657" s="21"/>
      <c r="C657" s="21"/>
      <c r="D657" s="21"/>
    </row>
    <row r="658" spans="1:4" ht="13">
      <c r="A658" s="21"/>
      <c r="B658" s="21"/>
      <c r="C658" s="21"/>
      <c r="D658" s="21"/>
    </row>
    <row r="659" spans="1:4" ht="13">
      <c r="A659" s="21"/>
      <c r="B659" s="21"/>
      <c r="C659" s="21"/>
      <c r="D659" s="21"/>
    </row>
    <row r="660" spans="1:4" ht="13">
      <c r="A660" s="21"/>
      <c r="B660" s="21"/>
      <c r="C660" s="21"/>
      <c r="D660" s="21"/>
    </row>
    <row r="661" spans="1:4" ht="13">
      <c r="A661" s="21"/>
      <c r="B661" s="21"/>
      <c r="C661" s="21"/>
      <c r="D661" s="21"/>
    </row>
    <row r="662" spans="1:4" ht="13">
      <c r="A662" s="21"/>
      <c r="B662" s="21"/>
      <c r="C662" s="21"/>
      <c r="D662" s="21"/>
    </row>
    <row r="663" spans="1:4" ht="13">
      <c r="A663" s="21"/>
      <c r="B663" s="21"/>
      <c r="C663" s="21"/>
      <c r="D663" s="21"/>
    </row>
    <row r="664" spans="1:4" ht="13">
      <c r="A664" s="21"/>
      <c r="B664" s="21"/>
      <c r="C664" s="21"/>
      <c r="D664" s="21"/>
    </row>
    <row r="665" spans="1:4" ht="13">
      <c r="A665" s="21"/>
      <c r="B665" s="21"/>
      <c r="C665" s="21"/>
      <c r="D665" s="21"/>
    </row>
    <row r="666" spans="1:4" ht="13">
      <c r="A666" s="21"/>
      <c r="B666" s="21"/>
      <c r="C666" s="21"/>
      <c r="D666" s="21"/>
    </row>
    <row r="667" spans="1:4" ht="13">
      <c r="A667" s="21"/>
      <c r="B667" s="21"/>
      <c r="C667" s="21"/>
      <c r="D667" s="21"/>
    </row>
    <row r="668" spans="1:4" ht="13">
      <c r="A668" s="21"/>
      <c r="B668" s="21"/>
      <c r="C668" s="21"/>
      <c r="D668" s="21"/>
    </row>
    <row r="669" spans="1:4" ht="13">
      <c r="A669" s="21"/>
      <c r="B669" s="21"/>
      <c r="C669" s="21"/>
      <c r="D669" s="21"/>
    </row>
    <row r="670" spans="1:4" ht="13">
      <c r="A670" s="21"/>
      <c r="B670" s="21"/>
      <c r="C670" s="21"/>
      <c r="D670" s="21"/>
    </row>
    <row r="671" spans="1:4" ht="13">
      <c r="A671" s="21"/>
      <c r="B671" s="21"/>
      <c r="C671" s="21"/>
      <c r="D671" s="21"/>
    </row>
    <row r="672" spans="1:4" ht="13">
      <c r="A672" s="21"/>
      <c r="B672" s="21"/>
      <c r="C672" s="21"/>
      <c r="D672" s="21"/>
    </row>
    <row r="673" spans="1:4" ht="13">
      <c r="A673" s="21"/>
      <c r="B673" s="21"/>
      <c r="C673" s="21"/>
      <c r="D673" s="21"/>
    </row>
    <row r="674" spans="1:4" ht="13">
      <c r="A674" s="21"/>
      <c r="B674" s="21"/>
      <c r="C674" s="21"/>
      <c r="D674" s="21"/>
    </row>
    <row r="675" spans="1:4" ht="13">
      <c r="A675" s="21"/>
      <c r="B675" s="21"/>
      <c r="C675" s="21"/>
      <c r="D675" s="21"/>
    </row>
    <row r="676" spans="1:4" ht="13">
      <c r="A676" s="21"/>
      <c r="B676" s="21"/>
      <c r="C676" s="21"/>
      <c r="D676" s="21"/>
    </row>
    <row r="677" spans="1:4" ht="13">
      <c r="A677" s="21"/>
      <c r="B677" s="21"/>
      <c r="C677" s="21"/>
      <c r="D677" s="21"/>
    </row>
    <row r="678" spans="1:4" ht="13">
      <c r="A678" s="21"/>
      <c r="B678" s="21"/>
      <c r="C678" s="21"/>
      <c r="D678" s="21"/>
    </row>
    <row r="679" spans="1:4" ht="13">
      <c r="A679" s="21"/>
      <c r="B679" s="21"/>
      <c r="C679" s="21"/>
      <c r="D679" s="21"/>
    </row>
    <row r="680" spans="1:4" ht="13">
      <c r="A680" s="21"/>
      <c r="B680" s="21"/>
      <c r="C680" s="21"/>
      <c r="D680" s="21"/>
    </row>
    <row r="681" spans="1:4" ht="13">
      <c r="A681" s="21"/>
      <c r="B681" s="21"/>
      <c r="C681" s="21"/>
      <c r="D681" s="21"/>
    </row>
    <row r="682" spans="1:4" ht="13">
      <c r="A682" s="21"/>
      <c r="B682" s="21"/>
      <c r="C682" s="21"/>
      <c r="D682" s="21"/>
    </row>
    <row r="683" spans="1:4" ht="13">
      <c r="A683" s="21"/>
      <c r="B683" s="21"/>
      <c r="C683" s="21"/>
      <c r="D683" s="21"/>
    </row>
    <row r="684" spans="1:4" ht="13">
      <c r="A684" s="21"/>
      <c r="B684" s="21"/>
      <c r="C684" s="21"/>
      <c r="D684" s="21"/>
    </row>
    <row r="685" spans="1:4" ht="13">
      <c r="A685" s="21"/>
      <c r="B685" s="21"/>
      <c r="C685" s="21"/>
      <c r="D685" s="21"/>
    </row>
    <row r="686" spans="1:4" ht="13">
      <c r="A686" s="21"/>
      <c r="B686" s="21"/>
      <c r="C686" s="21"/>
      <c r="D686" s="21"/>
    </row>
    <row r="687" spans="1:4" ht="13">
      <c r="A687" s="21"/>
      <c r="B687" s="21"/>
      <c r="C687" s="21"/>
      <c r="D687" s="21"/>
    </row>
    <row r="688" spans="1:4" ht="13">
      <c r="A688" s="21"/>
      <c r="B688" s="21"/>
      <c r="C688" s="21"/>
      <c r="D688" s="21"/>
    </row>
    <row r="689" spans="1:4" ht="13">
      <c r="A689" s="21"/>
      <c r="B689" s="21"/>
      <c r="C689" s="21"/>
      <c r="D689" s="21"/>
    </row>
    <row r="690" spans="1:4" ht="13">
      <c r="A690" s="21"/>
      <c r="B690" s="21"/>
      <c r="C690" s="21"/>
      <c r="D690" s="21"/>
    </row>
    <row r="691" spans="1:4" ht="13">
      <c r="A691" s="21"/>
      <c r="B691" s="21"/>
      <c r="C691" s="21"/>
      <c r="D691" s="21"/>
    </row>
    <row r="692" spans="1:4" ht="13">
      <c r="A692" s="21"/>
      <c r="B692" s="21"/>
      <c r="C692" s="21"/>
      <c r="D692" s="21"/>
    </row>
    <row r="693" spans="1:4" ht="13">
      <c r="A693" s="21"/>
      <c r="B693" s="21"/>
      <c r="C693" s="21"/>
      <c r="D693" s="21"/>
    </row>
    <row r="694" spans="1:4" ht="13">
      <c r="A694" s="21"/>
      <c r="B694" s="21"/>
      <c r="C694" s="21"/>
      <c r="D694" s="21"/>
    </row>
    <row r="695" spans="1:4" ht="13">
      <c r="A695" s="21"/>
      <c r="B695" s="21"/>
      <c r="C695" s="21"/>
      <c r="D695" s="21"/>
    </row>
    <row r="696" spans="1:4" ht="13">
      <c r="A696" s="21"/>
      <c r="B696" s="21"/>
      <c r="C696" s="21"/>
      <c r="D696" s="21"/>
    </row>
    <row r="697" spans="1:4" ht="13">
      <c r="A697" s="21"/>
      <c r="B697" s="21"/>
      <c r="C697" s="21"/>
      <c r="D697" s="21"/>
    </row>
    <row r="698" spans="1:4" ht="13">
      <c r="A698" s="21"/>
      <c r="B698" s="21"/>
      <c r="C698" s="21"/>
      <c r="D698" s="21"/>
    </row>
    <row r="699" spans="1:4" ht="13">
      <c r="A699" s="21"/>
      <c r="B699" s="21"/>
      <c r="C699" s="21"/>
      <c r="D699" s="21"/>
    </row>
    <row r="700" spans="1:4" ht="13">
      <c r="A700" s="21"/>
      <c r="B700" s="21"/>
      <c r="C700" s="21"/>
      <c r="D700" s="21"/>
    </row>
    <row r="701" spans="1:4" ht="13">
      <c r="A701" s="21"/>
      <c r="B701" s="21"/>
      <c r="C701" s="21"/>
      <c r="D701" s="21"/>
    </row>
    <row r="702" spans="1:4" ht="13">
      <c r="A702" s="21"/>
      <c r="B702" s="21"/>
      <c r="C702" s="21"/>
      <c r="D702" s="21"/>
    </row>
    <row r="703" spans="1:4" ht="13">
      <c r="A703" s="21"/>
      <c r="B703" s="21"/>
      <c r="C703" s="21"/>
      <c r="D703" s="21"/>
    </row>
    <row r="704" spans="1:4" ht="13">
      <c r="A704" s="21"/>
      <c r="B704" s="21"/>
      <c r="C704" s="21"/>
      <c r="D704" s="21"/>
    </row>
    <row r="705" spans="1:4" ht="13">
      <c r="A705" s="21"/>
      <c r="B705" s="21"/>
      <c r="C705" s="21"/>
      <c r="D705" s="21"/>
    </row>
    <row r="706" spans="1:4" ht="13">
      <c r="A706" s="21"/>
      <c r="B706" s="21"/>
      <c r="C706" s="21"/>
      <c r="D706" s="21"/>
    </row>
    <row r="707" spans="1:4" ht="13">
      <c r="A707" s="21"/>
      <c r="B707" s="21"/>
      <c r="C707" s="21"/>
      <c r="D707" s="21"/>
    </row>
    <row r="708" spans="1:4" ht="13">
      <c r="A708" s="21"/>
      <c r="B708" s="21"/>
      <c r="C708" s="21"/>
      <c r="D708" s="21"/>
    </row>
    <row r="709" spans="1:4" ht="13">
      <c r="A709" s="21"/>
      <c r="B709" s="21"/>
      <c r="C709" s="21"/>
      <c r="D709" s="21"/>
    </row>
    <row r="710" spans="1:4" ht="13">
      <c r="A710" s="21"/>
      <c r="B710" s="21"/>
      <c r="C710" s="21"/>
      <c r="D710" s="21"/>
    </row>
    <row r="711" spans="1:4" ht="13">
      <c r="A711" s="21"/>
      <c r="B711" s="21"/>
      <c r="C711" s="21"/>
      <c r="D711" s="21"/>
    </row>
    <row r="712" spans="1:4" ht="13">
      <c r="A712" s="21"/>
      <c r="B712" s="21"/>
      <c r="C712" s="21"/>
      <c r="D712" s="21"/>
    </row>
    <row r="713" spans="1:4" ht="13">
      <c r="A713" s="21"/>
      <c r="B713" s="21"/>
      <c r="C713" s="21"/>
      <c r="D713" s="21"/>
    </row>
    <row r="714" spans="1:4" ht="13">
      <c r="A714" s="21"/>
      <c r="B714" s="21"/>
      <c r="C714" s="21"/>
      <c r="D714" s="21"/>
    </row>
    <row r="715" spans="1:4" ht="13">
      <c r="A715" s="21"/>
      <c r="B715" s="21"/>
      <c r="C715" s="21"/>
      <c r="D715" s="21"/>
    </row>
    <row r="716" spans="1:4" ht="13">
      <c r="A716" s="21"/>
      <c r="B716" s="21"/>
      <c r="C716" s="21"/>
      <c r="D716" s="21"/>
    </row>
    <row r="717" spans="1:4" ht="13">
      <c r="A717" s="21"/>
      <c r="B717" s="21"/>
      <c r="C717" s="21"/>
      <c r="D717" s="21"/>
    </row>
    <row r="718" spans="1:4" ht="13">
      <c r="A718" s="21"/>
      <c r="B718" s="21"/>
      <c r="C718" s="21"/>
      <c r="D718" s="21"/>
    </row>
    <row r="719" spans="1:4" ht="13">
      <c r="A719" s="21"/>
      <c r="B719" s="21"/>
      <c r="C719" s="21"/>
      <c r="D719" s="21"/>
    </row>
    <row r="720" spans="1:4" ht="13">
      <c r="A720" s="21"/>
      <c r="B720" s="21"/>
      <c r="C720" s="21"/>
      <c r="D720" s="21"/>
    </row>
    <row r="721" spans="1:4" ht="13">
      <c r="A721" s="21"/>
      <c r="B721" s="21"/>
      <c r="C721" s="21"/>
      <c r="D721" s="21"/>
    </row>
    <row r="722" spans="1:4" ht="13">
      <c r="A722" s="21"/>
      <c r="B722" s="21"/>
      <c r="C722" s="21"/>
      <c r="D722" s="21"/>
    </row>
    <row r="723" spans="1:4" ht="13">
      <c r="A723" s="21"/>
      <c r="B723" s="21"/>
      <c r="C723" s="21"/>
      <c r="D723" s="21"/>
    </row>
    <row r="724" spans="1:4" ht="13">
      <c r="A724" s="21"/>
      <c r="B724" s="21"/>
      <c r="C724" s="21"/>
      <c r="D724" s="21"/>
    </row>
    <row r="725" spans="1:4" ht="13">
      <c r="A725" s="21"/>
      <c r="B725" s="21"/>
      <c r="C725" s="21"/>
      <c r="D725" s="21"/>
    </row>
    <row r="726" spans="1:4" ht="13">
      <c r="A726" s="21"/>
      <c r="B726" s="21"/>
      <c r="C726" s="21"/>
      <c r="D726" s="21"/>
    </row>
    <row r="727" spans="1:4" ht="13">
      <c r="A727" s="21"/>
      <c r="B727" s="21"/>
      <c r="C727" s="21"/>
      <c r="D727" s="21"/>
    </row>
    <row r="728" spans="1:4" ht="13">
      <c r="A728" s="21"/>
      <c r="B728" s="21"/>
      <c r="C728" s="21"/>
      <c r="D728" s="21"/>
    </row>
    <row r="729" spans="1:4" ht="13">
      <c r="A729" s="21"/>
      <c r="B729" s="21"/>
      <c r="C729" s="21"/>
      <c r="D729" s="21"/>
    </row>
    <row r="730" spans="1:4" ht="13">
      <c r="A730" s="21"/>
      <c r="B730" s="21"/>
      <c r="C730" s="21"/>
      <c r="D730" s="21"/>
    </row>
    <row r="731" spans="1:4" ht="13">
      <c r="A731" s="21"/>
      <c r="B731" s="21"/>
      <c r="C731" s="21"/>
      <c r="D731" s="21"/>
    </row>
    <row r="732" spans="1:4" ht="13">
      <c r="A732" s="21"/>
      <c r="B732" s="21"/>
      <c r="C732" s="21"/>
      <c r="D732" s="21"/>
    </row>
    <row r="733" spans="1:4" ht="13">
      <c r="A733" s="21"/>
      <c r="B733" s="21"/>
      <c r="C733" s="21"/>
      <c r="D733" s="21"/>
    </row>
    <row r="734" spans="1:4" ht="13">
      <c r="A734" s="21"/>
      <c r="B734" s="21"/>
      <c r="C734" s="21"/>
      <c r="D734" s="21"/>
    </row>
    <row r="735" spans="1:4" ht="13">
      <c r="A735" s="21"/>
      <c r="B735" s="21"/>
      <c r="C735" s="21"/>
      <c r="D735" s="21"/>
    </row>
    <row r="736" spans="1:4" ht="13">
      <c r="A736" s="21"/>
      <c r="B736" s="21"/>
      <c r="C736" s="21"/>
      <c r="D736" s="21"/>
    </row>
    <row r="737" spans="1:4" ht="13">
      <c r="A737" s="21"/>
      <c r="B737" s="21"/>
      <c r="C737" s="21"/>
      <c r="D737" s="21"/>
    </row>
    <row r="738" spans="1:4" ht="13">
      <c r="A738" s="21"/>
      <c r="B738" s="21"/>
      <c r="C738" s="21"/>
      <c r="D738" s="21"/>
    </row>
    <row r="739" spans="1:4" ht="13">
      <c r="A739" s="21"/>
      <c r="B739" s="21"/>
      <c r="C739" s="21"/>
      <c r="D739" s="21"/>
    </row>
    <row r="740" spans="1:4" ht="13">
      <c r="A740" s="21"/>
      <c r="B740" s="21"/>
      <c r="C740" s="21"/>
      <c r="D740" s="21"/>
    </row>
    <row r="741" spans="1:4" ht="13">
      <c r="A741" s="21"/>
      <c r="B741" s="21"/>
      <c r="C741" s="21"/>
      <c r="D741" s="21"/>
    </row>
    <row r="742" spans="1:4" ht="13">
      <c r="A742" s="21"/>
      <c r="B742" s="21"/>
      <c r="C742" s="21"/>
      <c r="D742" s="21"/>
    </row>
    <row r="743" spans="1:4" ht="13">
      <c r="A743" s="21"/>
      <c r="B743" s="21"/>
      <c r="C743" s="21"/>
      <c r="D743" s="21"/>
    </row>
    <row r="744" spans="1:4" ht="13">
      <c r="A744" s="21"/>
      <c r="B744" s="21"/>
      <c r="C744" s="21"/>
      <c r="D744" s="21"/>
    </row>
    <row r="745" spans="1:4" ht="13">
      <c r="A745" s="21"/>
      <c r="B745" s="21"/>
      <c r="C745" s="21"/>
      <c r="D745" s="21"/>
    </row>
    <row r="746" spans="1:4" ht="13">
      <c r="A746" s="21"/>
      <c r="B746" s="21"/>
      <c r="C746" s="21"/>
      <c r="D746" s="21"/>
    </row>
    <row r="747" spans="1:4" ht="13">
      <c r="A747" s="21"/>
      <c r="B747" s="21"/>
      <c r="C747" s="21"/>
      <c r="D747" s="21"/>
    </row>
    <row r="748" spans="1:4" ht="13">
      <c r="A748" s="21"/>
      <c r="B748" s="21"/>
      <c r="C748" s="21"/>
      <c r="D748" s="21"/>
    </row>
    <row r="749" spans="1:4" ht="13">
      <c r="A749" s="21"/>
      <c r="B749" s="21"/>
      <c r="C749" s="21"/>
      <c r="D749" s="21"/>
    </row>
    <row r="750" spans="1:4" ht="13">
      <c r="A750" s="21"/>
      <c r="B750" s="21"/>
      <c r="C750" s="21"/>
      <c r="D750" s="21"/>
    </row>
    <row r="751" spans="1:4" ht="13">
      <c r="A751" s="21"/>
      <c r="B751" s="21"/>
      <c r="C751" s="21"/>
      <c r="D751" s="21"/>
    </row>
    <row r="752" spans="1:4" ht="13">
      <c r="A752" s="21"/>
      <c r="B752" s="21"/>
      <c r="C752" s="21"/>
      <c r="D752" s="21"/>
    </row>
    <row r="753" spans="1:4" ht="13">
      <c r="A753" s="21"/>
      <c r="B753" s="21"/>
      <c r="C753" s="21"/>
      <c r="D753" s="21"/>
    </row>
    <row r="754" spans="1:4" ht="13">
      <c r="A754" s="21"/>
      <c r="B754" s="21"/>
      <c r="C754" s="21"/>
      <c r="D754" s="21"/>
    </row>
    <row r="755" spans="1:4" ht="13">
      <c r="A755" s="21"/>
      <c r="B755" s="21"/>
      <c r="C755" s="21"/>
      <c r="D755" s="21"/>
    </row>
    <row r="756" spans="1:4" ht="13">
      <c r="A756" s="21"/>
      <c r="B756" s="21"/>
      <c r="C756" s="21"/>
      <c r="D756" s="21"/>
    </row>
    <row r="757" spans="1:4" ht="13">
      <c r="A757" s="21"/>
      <c r="B757" s="21"/>
      <c r="C757" s="21"/>
      <c r="D757" s="21"/>
    </row>
    <row r="758" spans="1:4" ht="13">
      <c r="A758" s="21"/>
      <c r="B758" s="21"/>
      <c r="C758" s="21"/>
      <c r="D758" s="21"/>
    </row>
    <row r="759" spans="1:4" ht="13">
      <c r="A759" s="21"/>
      <c r="B759" s="21"/>
      <c r="C759" s="21"/>
      <c r="D759" s="21"/>
    </row>
    <row r="760" spans="1:4" ht="13">
      <c r="A760" s="21"/>
      <c r="B760" s="21"/>
      <c r="C760" s="21"/>
      <c r="D760" s="21"/>
    </row>
    <row r="761" spans="1:4" ht="13">
      <c r="A761" s="21"/>
      <c r="B761" s="21"/>
      <c r="C761" s="21"/>
      <c r="D761" s="21"/>
    </row>
    <row r="762" spans="1:4" ht="13">
      <c r="A762" s="21"/>
      <c r="B762" s="21"/>
      <c r="C762" s="21"/>
      <c r="D762" s="21"/>
    </row>
    <row r="763" spans="1:4" ht="13">
      <c r="A763" s="21"/>
      <c r="B763" s="21"/>
      <c r="C763" s="21"/>
      <c r="D763" s="21"/>
    </row>
    <row r="764" spans="1:4" ht="13">
      <c r="A764" s="21"/>
      <c r="B764" s="21"/>
      <c r="C764" s="21"/>
      <c r="D764" s="21"/>
    </row>
    <row r="765" spans="1:4" ht="13">
      <c r="A765" s="21"/>
      <c r="B765" s="21"/>
      <c r="C765" s="21"/>
      <c r="D765" s="21"/>
    </row>
    <row r="766" spans="1:4" ht="13">
      <c r="A766" s="21"/>
      <c r="B766" s="21"/>
      <c r="C766" s="21"/>
      <c r="D766" s="21"/>
    </row>
    <row r="767" spans="1:4" ht="13">
      <c r="A767" s="21"/>
      <c r="B767" s="21"/>
      <c r="C767" s="21"/>
      <c r="D767" s="21"/>
    </row>
    <row r="768" spans="1:4" ht="13">
      <c r="A768" s="21"/>
      <c r="B768" s="21"/>
      <c r="C768" s="21"/>
      <c r="D768" s="21"/>
    </row>
    <row r="769" spans="1:4" ht="13">
      <c r="A769" s="21"/>
      <c r="B769" s="21"/>
      <c r="C769" s="21"/>
      <c r="D769" s="21"/>
    </row>
    <row r="770" spans="1:4" ht="13">
      <c r="A770" s="21"/>
      <c r="B770" s="21"/>
      <c r="C770" s="21"/>
      <c r="D770" s="21"/>
    </row>
    <row r="771" spans="1:4" ht="13">
      <c r="A771" s="21"/>
      <c r="B771" s="21"/>
      <c r="C771" s="21"/>
      <c r="D771" s="21"/>
    </row>
    <row r="772" spans="1:4" ht="13">
      <c r="A772" s="21"/>
      <c r="B772" s="21"/>
      <c r="C772" s="21"/>
      <c r="D772" s="21"/>
    </row>
    <row r="773" spans="1:4" ht="13">
      <c r="A773" s="21"/>
      <c r="B773" s="21"/>
      <c r="C773" s="21"/>
      <c r="D773" s="21"/>
    </row>
    <row r="774" spans="1:4" ht="13">
      <c r="A774" s="21"/>
      <c r="B774" s="21"/>
      <c r="C774" s="21"/>
      <c r="D774" s="21"/>
    </row>
    <row r="775" spans="1:4" ht="13">
      <c r="A775" s="21"/>
      <c r="B775" s="21"/>
      <c r="C775" s="21"/>
      <c r="D775" s="21"/>
    </row>
    <row r="776" spans="1:4" ht="13">
      <c r="A776" s="21"/>
      <c r="B776" s="21"/>
      <c r="C776" s="21"/>
      <c r="D776" s="21"/>
    </row>
    <row r="777" spans="1:4" ht="13">
      <c r="A777" s="21"/>
      <c r="B777" s="21"/>
      <c r="C777" s="21"/>
      <c r="D777" s="21"/>
    </row>
    <row r="778" spans="1:4" ht="13">
      <c r="A778" s="21"/>
      <c r="B778" s="21"/>
      <c r="C778" s="21"/>
      <c r="D778" s="21"/>
    </row>
    <row r="779" spans="1:4" ht="13">
      <c r="A779" s="21"/>
      <c r="B779" s="21"/>
      <c r="C779" s="21"/>
      <c r="D779" s="21"/>
    </row>
    <row r="780" spans="1:4" ht="13">
      <c r="A780" s="21"/>
      <c r="B780" s="21"/>
      <c r="C780" s="21"/>
      <c r="D780" s="21"/>
    </row>
    <row r="781" spans="1:4" ht="13">
      <c r="A781" s="21"/>
      <c r="B781" s="21"/>
      <c r="C781" s="21"/>
      <c r="D781" s="21"/>
    </row>
    <row r="782" spans="1:4" ht="13">
      <c r="A782" s="21"/>
      <c r="B782" s="21"/>
      <c r="C782" s="21"/>
      <c r="D782" s="21"/>
    </row>
    <row r="783" spans="1:4" ht="13">
      <c r="A783" s="21"/>
      <c r="B783" s="21"/>
      <c r="C783" s="21"/>
      <c r="D783" s="21"/>
    </row>
    <row r="784" spans="1:4" ht="13">
      <c r="A784" s="21"/>
      <c r="B784" s="21"/>
      <c r="C784" s="21"/>
      <c r="D784" s="21"/>
    </row>
    <row r="785" spans="1:4" ht="13">
      <c r="A785" s="21"/>
      <c r="B785" s="21"/>
      <c r="C785" s="21"/>
      <c r="D785" s="21"/>
    </row>
    <row r="786" spans="1:4" ht="13">
      <c r="A786" s="21"/>
      <c r="B786" s="21"/>
      <c r="C786" s="21"/>
      <c r="D786" s="21"/>
    </row>
    <row r="787" spans="1:4" ht="13">
      <c r="A787" s="21"/>
      <c r="B787" s="21"/>
      <c r="C787" s="21"/>
      <c r="D787" s="21"/>
    </row>
    <row r="788" spans="1:4" ht="13">
      <c r="A788" s="21"/>
      <c r="B788" s="21"/>
      <c r="C788" s="21"/>
      <c r="D788" s="21"/>
    </row>
    <row r="789" spans="1:4" ht="13">
      <c r="A789" s="21"/>
      <c r="B789" s="21"/>
      <c r="C789" s="21"/>
      <c r="D789" s="21"/>
    </row>
    <row r="790" spans="1:4" ht="13">
      <c r="A790" s="21"/>
      <c r="B790" s="21"/>
      <c r="C790" s="21"/>
      <c r="D790" s="21"/>
    </row>
    <row r="791" spans="1:4" ht="13">
      <c r="A791" s="21"/>
      <c r="B791" s="21"/>
      <c r="C791" s="21"/>
      <c r="D791" s="21"/>
    </row>
    <row r="792" spans="1:4" ht="13">
      <c r="A792" s="21"/>
      <c r="B792" s="21"/>
      <c r="C792" s="21"/>
      <c r="D792" s="21"/>
    </row>
    <row r="793" spans="1:4" ht="13">
      <c r="A793" s="21"/>
      <c r="B793" s="21"/>
      <c r="C793" s="21"/>
      <c r="D793" s="21"/>
    </row>
    <row r="794" spans="1:4" ht="13">
      <c r="A794" s="21"/>
      <c r="B794" s="21"/>
      <c r="C794" s="21"/>
      <c r="D794" s="21"/>
    </row>
    <row r="795" spans="1:4" ht="13">
      <c r="A795" s="21"/>
      <c r="B795" s="21"/>
      <c r="C795" s="21"/>
      <c r="D795" s="21"/>
    </row>
    <row r="796" spans="1:4" ht="13">
      <c r="A796" s="21"/>
      <c r="B796" s="21"/>
      <c r="C796" s="21"/>
      <c r="D796" s="21"/>
    </row>
    <row r="797" spans="1:4" ht="13">
      <c r="A797" s="21"/>
      <c r="B797" s="21"/>
      <c r="C797" s="21"/>
      <c r="D797" s="21"/>
    </row>
    <row r="798" spans="1:4" ht="13">
      <c r="A798" s="21"/>
      <c r="B798" s="21"/>
      <c r="C798" s="21"/>
      <c r="D798" s="21"/>
    </row>
    <row r="799" spans="1:4" ht="13">
      <c r="A799" s="21"/>
      <c r="B799" s="21"/>
      <c r="C799" s="21"/>
      <c r="D799" s="21"/>
    </row>
    <row r="800" spans="1:4" ht="13">
      <c r="A800" s="21"/>
      <c r="B800" s="21"/>
      <c r="C800" s="21"/>
      <c r="D800" s="21"/>
    </row>
    <row r="801" spans="1:4" ht="13">
      <c r="A801" s="21"/>
      <c r="B801" s="21"/>
      <c r="C801" s="21"/>
      <c r="D801" s="21"/>
    </row>
    <row r="802" spans="1:4" ht="13">
      <c r="A802" s="21"/>
      <c r="B802" s="21"/>
      <c r="C802" s="21"/>
      <c r="D802" s="21"/>
    </row>
    <row r="803" spans="1:4" ht="13">
      <c r="A803" s="21"/>
      <c r="B803" s="21"/>
      <c r="C803" s="21"/>
      <c r="D803" s="21"/>
    </row>
    <row r="804" spans="1:4" ht="13">
      <c r="A804" s="21"/>
      <c r="B804" s="21"/>
      <c r="C804" s="21"/>
      <c r="D804" s="21"/>
    </row>
    <row r="805" spans="1:4" ht="13">
      <c r="A805" s="21"/>
      <c r="B805" s="21"/>
      <c r="C805" s="21"/>
      <c r="D805" s="21"/>
    </row>
    <row r="806" spans="1:4" ht="13">
      <c r="A806" s="21"/>
      <c r="B806" s="21"/>
      <c r="C806" s="21"/>
      <c r="D806" s="21"/>
    </row>
    <row r="807" spans="1:4" ht="13">
      <c r="A807" s="21"/>
      <c r="B807" s="21"/>
      <c r="C807" s="21"/>
      <c r="D807" s="21"/>
    </row>
    <row r="808" spans="1:4" ht="13">
      <c r="A808" s="21"/>
      <c r="B808" s="21"/>
      <c r="C808" s="21"/>
      <c r="D808" s="21"/>
    </row>
    <row r="809" spans="1:4" ht="13">
      <c r="A809" s="21"/>
      <c r="B809" s="21"/>
      <c r="C809" s="21"/>
      <c r="D809" s="21"/>
    </row>
    <row r="810" spans="1:4" ht="13">
      <c r="A810" s="21"/>
      <c r="B810" s="21"/>
      <c r="C810" s="21"/>
      <c r="D810" s="21"/>
    </row>
    <row r="811" spans="1:4" ht="13">
      <c r="A811" s="21"/>
      <c r="B811" s="21"/>
      <c r="C811" s="21"/>
      <c r="D811" s="21"/>
    </row>
    <row r="812" spans="1:4" ht="13">
      <c r="A812" s="21"/>
      <c r="B812" s="21"/>
      <c r="C812" s="21"/>
      <c r="D812" s="21"/>
    </row>
    <row r="813" spans="1:4" ht="13">
      <c r="A813" s="21"/>
      <c r="B813" s="21"/>
      <c r="C813" s="21"/>
      <c r="D813" s="21"/>
    </row>
    <row r="814" spans="1:4" ht="13">
      <c r="A814" s="21"/>
      <c r="B814" s="21"/>
      <c r="C814" s="21"/>
      <c r="D814" s="21"/>
    </row>
    <row r="815" spans="1:4" ht="13">
      <c r="A815" s="21"/>
      <c r="B815" s="21"/>
      <c r="C815" s="21"/>
      <c r="D815" s="21"/>
    </row>
    <row r="816" spans="1:4" ht="13">
      <c r="A816" s="21"/>
      <c r="B816" s="21"/>
      <c r="C816" s="21"/>
      <c r="D816" s="21"/>
    </row>
    <row r="817" spans="1:4" ht="13">
      <c r="A817" s="21"/>
      <c r="B817" s="21"/>
      <c r="C817" s="21"/>
      <c r="D817" s="21"/>
    </row>
    <row r="818" spans="1:4" ht="13">
      <c r="A818" s="21"/>
      <c r="B818" s="21"/>
      <c r="C818" s="21"/>
      <c r="D818" s="21"/>
    </row>
    <row r="819" spans="1:4" ht="13">
      <c r="A819" s="21"/>
      <c r="B819" s="21"/>
      <c r="C819" s="21"/>
      <c r="D819" s="21"/>
    </row>
    <row r="820" spans="1:4" ht="13">
      <c r="A820" s="21"/>
      <c r="B820" s="21"/>
      <c r="C820" s="21"/>
      <c r="D820" s="21"/>
    </row>
    <row r="821" spans="1:4" ht="13">
      <c r="A821" s="21"/>
      <c r="B821" s="21"/>
      <c r="C821" s="21"/>
      <c r="D821" s="21"/>
    </row>
    <row r="822" spans="1:4" ht="13">
      <c r="A822" s="21"/>
      <c r="B822" s="21"/>
      <c r="C822" s="21"/>
      <c r="D822" s="21"/>
    </row>
    <row r="823" spans="1:4" ht="13">
      <c r="A823" s="21"/>
      <c r="B823" s="21"/>
      <c r="C823" s="21"/>
      <c r="D823" s="21"/>
    </row>
    <row r="824" spans="1:4" ht="13">
      <c r="A824" s="21"/>
      <c r="B824" s="21"/>
      <c r="C824" s="21"/>
      <c r="D824" s="21"/>
    </row>
    <row r="825" spans="1:4" ht="13">
      <c r="A825" s="21"/>
      <c r="B825" s="21"/>
      <c r="C825" s="21"/>
      <c r="D825" s="21"/>
    </row>
    <row r="826" spans="1:4" ht="13">
      <c r="A826" s="21"/>
      <c r="B826" s="21"/>
      <c r="C826" s="21"/>
      <c r="D826" s="21"/>
    </row>
    <row r="827" spans="1:4" ht="13">
      <c r="A827" s="21"/>
      <c r="B827" s="21"/>
      <c r="C827" s="21"/>
      <c r="D827" s="21"/>
    </row>
    <row r="828" spans="1:4" ht="13">
      <c r="A828" s="21"/>
      <c r="B828" s="21"/>
      <c r="C828" s="21"/>
      <c r="D828" s="21"/>
    </row>
    <row r="829" spans="1:4" ht="13">
      <c r="A829" s="21"/>
      <c r="B829" s="21"/>
      <c r="C829" s="21"/>
      <c r="D829" s="21"/>
    </row>
    <row r="830" spans="1:4" ht="13">
      <c r="A830" s="21"/>
      <c r="B830" s="21"/>
      <c r="C830" s="21"/>
      <c r="D830" s="21"/>
    </row>
    <row r="831" spans="1:4" ht="13">
      <c r="A831" s="21"/>
      <c r="B831" s="21"/>
      <c r="C831" s="21"/>
      <c r="D831" s="21"/>
    </row>
    <row r="832" spans="1:4" ht="13">
      <c r="A832" s="21"/>
      <c r="B832" s="21"/>
      <c r="C832" s="21"/>
      <c r="D832" s="21"/>
    </row>
    <row r="833" spans="1:4" ht="13">
      <c r="A833" s="21"/>
      <c r="B833" s="21"/>
      <c r="C833" s="21"/>
      <c r="D833" s="21"/>
    </row>
    <row r="834" spans="1:4" ht="13">
      <c r="A834" s="21"/>
      <c r="B834" s="21"/>
      <c r="C834" s="21"/>
      <c r="D834" s="21"/>
    </row>
    <row r="835" spans="1:4" ht="13">
      <c r="A835" s="21"/>
      <c r="B835" s="21"/>
      <c r="C835" s="21"/>
      <c r="D835" s="21"/>
    </row>
    <row r="836" spans="1:4" ht="13">
      <c r="A836" s="21"/>
      <c r="B836" s="21"/>
      <c r="C836" s="21"/>
      <c r="D836" s="21"/>
    </row>
    <row r="837" spans="1:4" ht="13">
      <c r="A837" s="21"/>
      <c r="B837" s="21"/>
      <c r="C837" s="21"/>
      <c r="D837" s="21"/>
    </row>
    <row r="838" spans="1:4" ht="13">
      <c r="A838" s="21"/>
      <c r="B838" s="21"/>
      <c r="C838" s="21"/>
      <c r="D838" s="21"/>
    </row>
    <row r="839" spans="1:4" ht="13">
      <c r="A839" s="21"/>
      <c r="B839" s="21"/>
      <c r="C839" s="21"/>
      <c r="D839" s="21"/>
    </row>
    <row r="840" spans="1:4" ht="13">
      <c r="A840" s="21"/>
      <c r="B840" s="21"/>
      <c r="C840" s="21"/>
      <c r="D840" s="21"/>
    </row>
    <row r="841" spans="1:4" ht="13">
      <c r="A841" s="21"/>
      <c r="B841" s="21"/>
      <c r="C841" s="21"/>
      <c r="D841" s="21"/>
    </row>
    <row r="842" spans="1:4" ht="13">
      <c r="A842" s="21"/>
      <c r="B842" s="21"/>
      <c r="C842" s="21"/>
      <c r="D842" s="21"/>
    </row>
    <row r="843" spans="1:4" ht="13">
      <c r="A843" s="21"/>
      <c r="B843" s="21"/>
      <c r="C843" s="21"/>
      <c r="D843" s="21"/>
    </row>
    <row r="844" spans="1:4" ht="13">
      <c r="A844" s="21"/>
      <c r="B844" s="21"/>
      <c r="C844" s="21"/>
      <c r="D844" s="21"/>
    </row>
    <row r="845" spans="1:4" ht="13">
      <c r="A845" s="21"/>
      <c r="B845" s="21"/>
      <c r="C845" s="21"/>
      <c r="D845" s="21"/>
    </row>
    <row r="846" spans="1:4" ht="13">
      <c r="A846" s="21"/>
      <c r="B846" s="21"/>
      <c r="C846" s="21"/>
      <c r="D846" s="21"/>
    </row>
    <row r="847" spans="1:4" ht="13">
      <c r="A847" s="21"/>
      <c r="B847" s="21"/>
      <c r="C847" s="21"/>
      <c r="D847" s="21"/>
    </row>
    <row r="848" spans="1:4" ht="13">
      <c r="A848" s="21"/>
      <c r="B848" s="21"/>
      <c r="C848" s="21"/>
      <c r="D848" s="21"/>
    </row>
    <row r="849" spans="1:4" ht="13">
      <c r="A849" s="21"/>
      <c r="B849" s="21"/>
      <c r="C849" s="21"/>
      <c r="D849" s="21"/>
    </row>
    <row r="850" spans="1:4" ht="13">
      <c r="A850" s="21"/>
      <c r="B850" s="21"/>
      <c r="C850" s="21"/>
      <c r="D850" s="21"/>
    </row>
    <row r="851" spans="1:4" ht="13">
      <c r="A851" s="21"/>
      <c r="B851" s="21"/>
      <c r="C851" s="21"/>
      <c r="D851" s="21"/>
    </row>
    <row r="852" spans="1:4" ht="13">
      <c r="A852" s="21"/>
      <c r="B852" s="21"/>
      <c r="C852" s="21"/>
      <c r="D852" s="21"/>
    </row>
    <row r="853" spans="1:4" ht="13">
      <c r="A853" s="21"/>
      <c r="B853" s="21"/>
      <c r="C853" s="21"/>
      <c r="D853" s="21"/>
    </row>
    <row r="854" spans="1:4" ht="13">
      <c r="A854" s="21"/>
      <c r="B854" s="21"/>
      <c r="C854" s="21"/>
      <c r="D854" s="21"/>
    </row>
    <row r="855" spans="1:4" ht="13">
      <c r="A855" s="21"/>
      <c r="B855" s="21"/>
      <c r="C855" s="21"/>
      <c r="D855" s="21"/>
    </row>
    <row r="856" spans="1:4" ht="13">
      <c r="A856" s="21"/>
      <c r="B856" s="21"/>
      <c r="C856" s="21"/>
      <c r="D856" s="21"/>
    </row>
    <row r="857" spans="1:4" ht="13">
      <c r="A857" s="21"/>
      <c r="B857" s="21"/>
      <c r="C857" s="21"/>
      <c r="D857" s="21"/>
    </row>
    <row r="858" spans="1:4" ht="13">
      <c r="A858" s="21"/>
      <c r="B858" s="21"/>
      <c r="C858" s="21"/>
      <c r="D858" s="21"/>
    </row>
    <row r="859" spans="1:4" ht="13">
      <c r="A859" s="21"/>
      <c r="B859" s="21"/>
      <c r="C859" s="21"/>
      <c r="D859" s="21"/>
    </row>
    <row r="860" spans="1:4" ht="13">
      <c r="A860" s="21"/>
      <c r="B860" s="21"/>
      <c r="C860" s="21"/>
      <c r="D860" s="21"/>
    </row>
    <row r="861" spans="1:4" ht="13">
      <c r="A861" s="21"/>
      <c r="B861" s="21"/>
      <c r="C861" s="21"/>
      <c r="D861" s="21"/>
    </row>
    <row r="862" spans="1:4" ht="13">
      <c r="A862" s="21"/>
      <c r="B862" s="21"/>
      <c r="C862" s="21"/>
      <c r="D862" s="21"/>
    </row>
    <row r="863" spans="1:4" ht="13">
      <c r="A863" s="21"/>
      <c r="B863" s="21"/>
      <c r="C863" s="21"/>
      <c r="D863" s="21"/>
    </row>
    <row r="864" spans="1:4" ht="13">
      <c r="A864" s="21"/>
      <c r="B864" s="21"/>
      <c r="C864" s="21"/>
      <c r="D864" s="21"/>
    </row>
    <row r="865" spans="1:4" ht="13">
      <c r="A865" s="21"/>
      <c r="B865" s="21"/>
      <c r="C865" s="21"/>
      <c r="D865" s="21"/>
    </row>
    <row r="866" spans="1:4" ht="13">
      <c r="A866" s="21"/>
      <c r="B866" s="21"/>
      <c r="C866" s="21"/>
      <c r="D866" s="21"/>
    </row>
    <row r="867" spans="1:4" ht="13">
      <c r="A867" s="21"/>
      <c r="B867" s="21"/>
      <c r="C867" s="21"/>
      <c r="D867" s="21"/>
    </row>
    <row r="868" spans="1:4" ht="13">
      <c r="A868" s="21"/>
      <c r="B868" s="21"/>
      <c r="C868" s="21"/>
      <c r="D868" s="21"/>
    </row>
    <row r="869" spans="1:4" ht="13">
      <c r="A869" s="21"/>
      <c r="B869" s="21"/>
      <c r="C869" s="21"/>
      <c r="D869" s="21"/>
    </row>
    <row r="870" spans="1:4" ht="13">
      <c r="A870" s="21"/>
      <c r="B870" s="21"/>
      <c r="C870" s="21"/>
      <c r="D870" s="21"/>
    </row>
    <row r="871" spans="1:4" ht="13">
      <c r="A871" s="21"/>
      <c r="B871" s="21"/>
      <c r="C871" s="21"/>
      <c r="D871" s="21"/>
    </row>
    <row r="872" spans="1:4" ht="13">
      <c r="A872" s="21"/>
      <c r="B872" s="21"/>
      <c r="C872" s="21"/>
      <c r="D872" s="21"/>
    </row>
    <row r="873" spans="1:4" ht="13">
      <c r="A873" s="21"/>
      <c r="B873" s="21"/>
      <c r="C873" s="21"/>
      <c r="D873" s="21"/>
    </row>
    <row r="874" spans="1:4" ht="13">
      <c r="A874" s="21"/>
      <c r="B874" s="21"/>
      <c r="C874" s="21"/>
      <c r="D874" s="21"/>
    </row>
    <row r="875" spans="1:4" ht="13">
      <c r="A875" s="21"/>
      <c r="B875" s="21"/>
      <c r="C875" s="21"/>
      <c r="D875" s="21"/>
    </row>
    <row r="876" spans="1:4" ht="13">
      <c r="A876" s="21"/>
      <c r="B876" s="21"/>
      <c r="C876" s="21"/>
      <c r="D876" s="21"/>
    </row>
    <row r="877" spans="1:4" ht="13">
      <c r="A877" s="21"/>
      <c r="B877" s="21"/>
      <c r="C877" s="21"/>
      <c r="D877" s="21"/>
    </row>
    <row r="878" spans="1:4" ht="13">
      <c r="A878" s="21"/>
      <c r="B878" s="21"/>
      <c r="C878" s="21"/>
      <c r="D878" s="21"/>
    </row>
    <row r="879" spans="1:4" ht="13">
      <c r="A879" s="21"/>
      <c r="B879" s="21"/>
      <c r="C879" s="21"/>
      <c r="D879" s="21"/>
    </row>
    <row r="880" spans="1:4" ht="13">
      <c r="A880" s="21"/>
      <c r="B880" s="21"/>
      <c r="C880" s="21"/>
      <c r="D880" s="21"/>
    </row>
    <row r="881" spans="1:4" ht="13">
      <c r="A881" s="21"/>
      <c r="B881" s="21"/>
      <c r="C881" s="21"/>
      <c r="D881" s="21"/>
    </row>
    <row r="882" spans="1:4" ht="13">
      <c r="A882" s="21"/>
      <c r="B882" s="21"/>
      <c r="C882" s="21"/>
      <c r="D882" s="21"/>
    </row>
    <row r="883" spans="1:4" ht="13">
      <c r="A883" s="21"/>
      <c r="B883" s="21"/>
      <c r="C883" s="21"/>
      <c r="D883" s="21"/>
    </row>
    <row r="884" spans="1:4" ht="13">
      <c r="A884" s="21"/>
      <c r="B884" s="21"/>
      <c r="C884" s="21"/>
      <c r="D884" s="21"/>
    </row>
    <row r="885" spans="1:4" ht="13">
      <c r="A885" s="21"/>
      <c r="B885" s="21"/>
      <c r="C885" s="21"/>
      <c r="D885" s="21"/>
    </row>
    <row r="886" spans="1:4" ht="13">
      <c r="A886" s="21"/>
      <c r="B886" s="21"/>
      <c r="C886" s="21"/>
      <c r="D886" s="21"/>
    </row>
    <row r="887" spans="1:4" ht="13">
      <c r="A887" s="21"/>
      <c r="B887" s="21"/>
      <c r="C887" s="21"/>
      <c r="D887" s="21"/>
    </row>
    <row r="888" spans="1:4" ht="13">
      <c r="A888" s="21"/>
      <c r="B888" s="21"/>
      <c r="C888" s="21"/>
      <c r="D888" s="21"/>
    </row>
    <row r="889" spans="1:4" ht="13">
      <c r="A889" s="21"/>
      <c r="B889" s="21"/>
      <c r="C889" s="21"/>
      <c r="D889" s="21"/>
    </row>
    <row r="890" spans="1:4" ht="13">
      <c r="A890" s="21"/>
      <c r="B890" s="21"/>
      <c r="C890" s="21"/>
      <c r="D890" s="21"/>
    </row>
    <row r="891" spans="1:4" ht="13">
      <c r="A891" s="21"/>
      <c r="B891" s="21"/>
      <c r="C891" s="21"/>
      <c r="D891" s="21"/>
    </row>
    <row r="892" spans="1:4" ht="13">
      <c r="A892" s="21"/>
      <c r="B892" s="21"/>
      <c r="C892" s="21"/>
      <c r="D892" s="21"/>
    </row>
    <row r="893" spans="1:4" ht="13">
      <c r="A893" s="21"/>
      <c r="B893" s="21"/>
      <c r="C893" s="21"/>
      <c r="D893" s="21"/>
    </row>
    <row r="894" spans="1:4" ht="13">
      <c r="A894" s="21"/>
      <c r="B894" s="21"/>
      <c r="C894" s="21"/>
      <c r="D894" s="21"/>
    </row>
    <row r="895" spans="1:4" ht="13">
      <c r="A895" s="21"/>
      <c r="B895" s="21"/>
      <c r="C895" s="21"/>
      <c r="D895" s="21"/>
    </row>
    <row r="896" spans="1:4" ht="13">
      <c r="A896" s="21"/>
      <c r="B896" s="21"/>
      <c r="C896" s="21"/>
      <c r="D896" s="21"/>
    </row>
    <row r="897" spans="1:4" ht="13">
      <c r="A897" s="21"/>
      <c r="B897" s="21"/>
      <c r="C897" s="21"/>
      <c r="D897" s="21"/>
    </row>
    <row r="898" spans="1:4" ht="13">
      <c r="A898" s="21"/>
      <c r="B898" s="21"/>
      <c r="C898" s="21"/>
      <c r="D898" s="21"/>
    </row>
    <row r="899" spans="1:4" ht="13">
      <c r="A899" s="21"/>
      <c r="B899" s="21"/>
      <c r="C899" s="21"/>
      <c r="D899" s="21"/>
    </row>
    <row r="900" spans="1:4" ht="13">
      <c r="A900" s="21"/>
      <c r="B900" s="21"/>
      <c r="C900" s="21"/>
      <c r="D900" s="21"/>
    </row>
    <row r="901" spans="1:4" ht="13">
      <c r="A901" s="21"/>
      <c r="B901" s="21"/>
      <c r="C901" s="21"/>
      <c r="D901" s="21"/>
    </row>
    <row r="902" spans="1:4" ht="13">
      <c r="A902" s="21"/>
      <c r="B902" s="21"/>
      <c r="C902" s="21"/>
      <c r="D902" s="21"/>
    </row>
    <row r="903" spans="1:4" ht="13">
      <c r="A903" s="21"/>
      <c r="B903" s="21"/>
      <c r="C903" s="21"/>
      <c r="D903" s="21"/>
    </row>
    <row r="904" spans="1:4" ht="13">
      <c r="A904" s="21"/>
      <c r="B904" s="21"/>
      <c r="C904" s="21"/>
      <c r="D904" s="21"/>
    </row>
    <row r="905" spans="1:4" ht="13">
      <c r="A905" s="21"/>
      <c r="B905" s="21"/>
      <c r="C905" s="21"/>
      <c r="D905" s="21"/>
    </row>
    <row r="906" spans="1:4" ht="13">
      <c r="A906" s="21"/>
      <c r="B906" s="21"/>
      <c r="C906" s="21"/>
      <c r="D906" s="21"/>
    </row>
    <row r="907" spans="1:4" ht="13">
      <c r="A907" s="21"/>
      <c r="B907" s="21"/>
      <c r="C907" s="21"/>
      <c r="D907" s="21"/>
    </row>
    <row r="908" spans="1:4" ht="13">
      <c r="A908" s="21"/>
      <c r="B908" s="21"/>
      <c r="C908" s="21"/>
      <c r="D908" s="21"/>
    </row>
    <row r="909" spans="1:4" ht="13">
      <c r="A909" s="21"/>
      <c r="B909" s="21"/>
      <c r="C909" s="21"/>
      <c r="D909" s="21"/>
    </row>
    <row r="910" spans="1:4" ht="13">
      <c r="A910" s="21"/>
      <c r="B910" s="21"/>
      <c r="C910" s="21"/>
      <c r="D910" s="21"/>
    </row>
    <row r="911" spans="1:4" ht="13">
      <c r="A911" s="21"/>
      <c r="B911" s="21"/>
      <c r="C911" s="21"/>
      <c r="D911" s="21"/>
    </row>
    <row r="912" spans="1:4" ht="13">
      <c r="A912" s="21"/>
      <c r="B912" s="21"/>
      <c r="C912" s="21"/>
      <c r="D912" s="21"/>
    </row>
    <row r="913" spans="1:4" ht="13">
      <c r="A913" s="21"/>
      <c r="B913" s="21"/>
      <c r="C913" s="21"/>
      <c r="D913" s="21"/>
    </row>
    <row r="914" spans="1:4" ht="13">
      <c r="A914" s="21"/>
      <c r="B914" s="21"/>
      <c r="C914" s="21"/>
      <c r="D914" s="21"/>
    </row>
    <row r="915" spans="1:4" ht="13">
      <c r="A915" s="21"/>
      <c r="B915" s="21"/>
      <c r="C915" s="21"/>
      <c r="D915" s="21"/>
    </row>
    <row r="916" spans="1:4" ht="13">
      <c r="A916" s="21"/>
      <c r="B916" s="21"/>
      <c r="C916" s="21"/>
      <c r="D916" s="21"/>
    </row>
    <row r="917" spans="1:4" ht="13">
      <c r="A917" s="21"/>
      <c r="B917" s="21"/>
      <c r="C917" s="21"/>
      <c r="D917" s="21"/>
    </row>
    <row r="918" spans="1:4" ht="13">
      <c r="A918" s="21"/>
      <c r="B918" s="21"/>
      <c r="C918" s="21"/>
      <c r="D918" s="21"/>
    </row>
    <row r="919" spans="1:4" ht="13">
      <c r="A919" s="21"/>
      <c r="B919" s="21"/>
      <c r="C919" s="21"/>
      <c r="D919" s="21"/>
    </row>
    <row r="920" spans="1:4" ht="13">
      <c r="A920" s="21"/>
      <c r="B920" s="21"/>
      <c r="C920" s="21"/>
      <c r="D920" s="21"/>
    </row>
    <row r="921" spans="1:4" ht="13">
      <c r="A921" s="21"/>
      <c r="B921" s="21"/>
      <c r="C921" s="21"/>
      <c r="D921" s="21"/>
    </row>
    <row r="922" spans="1:4" ht="13">
      <c r="A922" s="21"/>
      <c r="B922" s="21"/>
      <c r="C922" s="21"/>
      <c r="D922" s="21"/>
    </row>
    <row r="923" spans="1:4" ht="13">
      <c r="A923" s="21"/>
      <c r="B923" s="21"/>
      <c r="C923" s="21"/>
      <c r="D923" s="21"/>
    </row>
    <row r="924" spans="1:4" ht="13">
      <c r="A924" s="21"/>
      <c r="B924" s="21"/>
      <c r="C924" s="21"/>
      <c r="D924" s="21"/>
    </row>
    <row r="925" spans="1:4" ht="13">
      <c r="A925" s="21"/>
      <c r="B925" s="21"/>
      <c r="C925" s="21"/>
      <c r="D925" s="21"/>
    </row>
    <row r="926" spans="1:4" ht="13">
      <c r="A926" s="21"/>
      <c r="B926" s="21"/>
      <c r="C926" s="21"/>
      <c r="D926" s="21"/>
    </row>
    <row r="927" spans="1:4" ht="13">
      <c r="A927" s="21"/>
      <c r="B927" s="21"/>
      <c r="C927" s="21"/>
      <c r="D927" s="21"/>
    </row>
    <row r="928" spans="1:4" ht="13">
      <c r="A928" s="21"/>
      <c r="B928" s="21"/>
      <c r="C928" s="21"/>
      <c r="D928" s="21"/>
    </row>
    <row r="929" spans="1:4" ht="13">
      <c r="A929" s="21"/>
      <c r="B929" s="21"/>
      <c r="C929" s="21"/>
      <c r="D929" s="21"/>
    </row>
    <row r="930" spans="1:4" ht="13">
      <c r="A930" s="21"/>
      <c r="B930" s="21"/>
      <c r="C930" s="21"/>
      <c r="D930" s="21"/>
    </row>
    <row r="931" spans="1:4" ht="13">
      <c r="A931" s="21"/>
      <c r="B931" s="21"/>
      <c r="C931" s="21"/>
      <c r="D931" s="21"/>
    </row>
    <row r="932" spans="1:4" ht="13">
      <c r="A932" s="21"/>
      <c r="B932" s="21"/>
      <c r="C932" s="21"/>
      <c r="D932" s="21"/>
    </row>
    <row r="933" spans="1:4" ht="13">
      <c r="A933" s="21"/>
      <c r="B933" s="21"/>
      <c r="C933" s="21"/>
      <c r="D933" s="21"/>
    </row>
    <row r="934" spans="1:4" ht="13">
      <c r="A934" s="21"/>
      <c r="B934" s="21"/>
      <c r="C934" s="21"/>
      <c r="D934" s="21"/>
    </row>
    <row r="935" spans="1:4" ht="13">
      <c r="A935" s="21"/>
      <c r="B935" s="21"/>
      <c r="C935" s="21"/>
      <c r="D935" s="21"/>
    </row>
    <row r="936" spans="1:4" ht="13">
      <c r="A936" s="21"/>
      <c r="B936" s="21"/>
      <c r="C936" s="21"/>
      <c r="D936" s="21"/>
    </row>
    <row r="937" spans="1:4" ht="13">
      <c r="A937" s="21"/>
      <c r="B937" s="21"/>
      <c r="C937" s="21"/>
      <c r="D937" s="21"/>
    </row>
    <row r="938" spans="1:4" ht="13">
      <c r="A938" s="21"/>
      <c r="B938" s="21"/>
      <c r="C938" s="21"/>
      <c r="D938" s="21"/>
    </row>
    <row r="939" spans="1:4" ht="13">
      <c r="A939" s="21"/>
      <c r="B939" s="21"/>
      <c r="C939" s="21"/>
      <c r="D939" s="21"/>
    </row>
    <row r="940" spans="1:4" ht="13">
      <c r="A940" s="21"/>
      <c r="B940" s="21"/>
      <c r="C940" s="21"/>
      <c r="D940" s="21"/>
    </row>
    <row r="941" spans="1:4" ht="13">
      <c r="A941" s="21"/>
      <c r="B941" s="21"/>
      <c r="C941" s="21"/>
      <c r="D941" s="21"/>
    </row>
    <row r="942" spans="1:4" ht="13">
      <c r="A942" s="21"/>
      <c r="B942" s="21"/>
      <c r="C942" s="21"/>
      <c r="D942" s="21"/>
    </row>
    <row r="943" spans="1:4" ht="13">
      <c r="A943" s="21"/>
      <c r="B943" s="21"/>
      <c r="C943" s="21"/>
      <c r="D943" s="21"/>
    </row>
    <row r="944" spans="1:4" ht="13">
      <c r="A944" s="21"/>
      <c r="B944" s="21"/>
      <c r="C944" s="21"/>
      <c r="D944" s="21"/>
    </row>
    <row r="945" spans="1:4" ht="13">
      <c r="A945" s="21"/>
      <c r="B945" s="21"/>
      <c r="C945" s="21"/>
      <c r="D945" s="21"/>
    </row>
    <row r="946" spans="1:4" ht="13">
      <c r="A946" s="21"/>
      <c r="B946" s="21"/>
      <c r="C946" s="21"/>
      <c r="D946" s="21"/>
    </row>
    <row r="947" spans="1:4" ht="13">
      <c r="A947" s="21"/>
      <c r="B947" s="21"/>
      <c r="C947" s="21"/>
      <c r="D947" s="21"/>
    </row>
    <row r="948" spans="1:4" ht="13">
      <c r="A948" s="21"/>
      <c r="B948" s="21"/>
      <c r="C948" s="21"/>
      <c r="D948" s="21"/>
    </row>
    <row r="949" spans="1:4" ht="13">
      <c r="A949" s="21"/>
      <c r="B949" s="21"/>
      <c r="C949" s="21"/>
      <c r="D949" s="21"/>
    </row>
    <row r="950" spans="1:4" ht="13">
      <c r="A950" s="21"/>
      <c r="B950" s="21"/>
      <c r="C950" s="21"/>
      <c r="D950" s="21"/>
    </row>
    <row r="951" spans="1:4" ht="13">
      <c r="A951" s="21"/>
      <c r="B951" s="21"/>
      <c r="C951" s="21"/>
      <c r="D951" s="21"/>
    </row>
    <row r="952" spans="1:4" ht="13">
      <c r="A952" s="21"/>
      <c r="B952" s="21"/>
      <c r="C952" s="21"/>
      <c r="D952" s="21"/>
    </row>
    <row r="953" spans="1:4" ht="13">
      <c r="A953" s="21"/>
      <c r="B953" s="21"/>
      <c r="C953" s="21"/>
      <c r="D953" s="21"/>
    </row>
    <row r="954" spans="1:4" ht="13">
      <c r="A954" s="21"/>
      <c r="B954" s="21"/>
      <c r="C954" s="21"/>
      <c r="D954" s="21"/>
    </row>
    <row r="955" spans="1:4" ht="13">
      <c r="A955" s="21"/>
      <c r="B955" s="21"/>
      <c r="C955" s="21"/>
      <c r="D955" s="21"/>
    </row>
    <row r="956" spans="1:4" ht="13">
      <c r="A956" s="21"/>
      <c r="B956" s="21"/>
      <c r="C956" s="21"/>
      <c r="D956" s="21"/>
    </row>
    <row r="957" spans="1:4" ht="13">
      <c r="A957" s="21"/>
      <c r="B957" s="21"/>
      <c r="C957" s="21"/>
      <c r="D957" s="21"/>
    </row>
    <row r="958" spans="1:4" ht="13">
      <c r="A958" s="21"/>
      <c r="B958" s="21"/>
      <c r="C958" s="21"/>
      <c r="D958" s="21"/>
    </row>
    <row r="959" spans="1:4" ht="13">
      <c r="A959" s="21"/>
      <c r="B959" s="21"/>
      <c r="C959" s="21"/>
      <c r="D959" s="21"/>
    </row>
    <row r="960" spans="1:4" ht="13">
      <c r="A960" s="21"/>
      <c r="B960" s="21"/>
      <c r="C960" s="21"/>
      <c r="D960" s="21"/>
    </row>
    <row r="961" spans="1:4" ht="13">
      <c r="A961" s="21"/>
      <c r="B961" s="21"/>
      <c r="C961" s="21"/>
      <c r="D961" s="21"/>
    </row>
    <row r="962" spans="1:4" ht="13">
      <c r="A962" s="21"/>
      <c r="B962" s="21"/>
      <c r="C962" s="21"/>
      <c r="D962" s="21"/>
    </row>
    <row r="963" spans="1:4" ht="13">
      <c r="A963" s="21"/>
      <c r="B963" s="21"/>
      <c r="C963" s="21"/>
      <c r="D963" s="21"/>
    </row>
    <row r="964" spans="1:4" ht="13">
      <c r="A964" s="21"/>
      <c r="B964" s="21"/>
      <c r="C964" s="21"/>
      <c r="D964" s="21"/>
    </row>
    <row r="965" spans="1:4" ht="13">
      <c r="A965" s="21"/>
      <c r="B965" s="21"/>
      <c r="C965" s="21"/>
      <c r="D965" s="21"/>
    </row>
    <row r="966" spans="1:4" ht="13">
      <c r="A966" s="21"/>
      <c r="B966" s="21"/>
      <c r="C966" s="21"/>
      <c r="D966" s="21"/>
    </row>
    <row r="967" spans="1:4" ht="13">
      <c r="A967" s="21"/>
      <c r="B967" s="21"/>
      <c r="C967" s="21"/>
      <c r="D967" s="21"/>
    </row>
    <row r="968" spans="1:4" ht="13">
      <c r="A968" s="21"/>
      <c r="B968" s="21"/>
      <c r="C968" s="21"/>
      <c r="D968" s="21"/>
    </row>
    <row r="969" spans="1:4" ht="13">
      <c r="A969" s="21"/>
      <c r="B969" s="21"/>
      <c r="C969" s="21"/>
      <c r="D969" s="21"/>
    </row>
    <row r="970" spans="1:4" ht="13">
      <c r="A970" s="21"/>
      <c r="B970" s="21"/>
      <c r="C970" s="21"/>
      <c r="D970" s="21"/>
    </row>
    <row r="971" spans="1:4" ht="13">
      <c r="A971" s="21"/>
      <c r="B971" s="21"/>
      <c r="C971" s="21"/>
      <c r="D971" s="21"/>
    </row>
    <row r="972" spans="1:4" ht="13">
      <c r="A972" s="21"/>
      <c r="B972" s="21"/>
      <c r="C972" s="21"/>
      <c r="D972" s="21"/>
    </row>
    <row r="973" spans="1:4" ht="13">
      <c r="A973" s="21"/>
      <c r="B973" s="21"/>
      <c r="C973" s="21"/>
      <c r="D973" s="21"/>
    </row>
    <row r="974" spans="1:4" ht="13">
      <c r="A974" s="21"/>
      <c r="B974" s="21"/>
      <c r="C974" s="21"/>
      <c r="D974" s="21"/>
    </row>
    <row r="975" spans="1:4" ht="13">
      <c r="A975" s="21"/>
      <c r="B975" s="21"/>
      <c r="C975" s="21"/>
      <c r="D975" s="21"/>
    </row>
    <row r="976" spans="1:4" ht="13">
      <c r="A976" s="21"/>
      <c r="B976" s="21"/>
      <c r="C976" s="21"/>
      <c r="D976" s="21"/>
    </row>
    <row r="977" spans="1:4" ht="13">
      <c r="A977" s="21"/>
      <c r="B977" s="21"/>
      <c r="C977" s="21"/>
      <c r="D977" s="21"/>
    </row>
    <row r="978" spans="1:4" ht="13">
      <c r="A978" s="21"/>
      <c r="B978" s="21"/>
      <c r="C978" s="21"/>
      <c r="D978" s="21"/>
    </row>
    <row r="979" spans="1:4" ht="13">
      <c r="A979" s="21"/>
      <c r="B979" s="21"/>
      <c r="C979" s="21"/>
      <c r="D979" s="21"/>
    </row>
    <row r="980" spans="1:4" ht="13">
      <c r="A980" s="21"/>
      <c r="B980" s="21"/>
      <c r="C980" s="21"/>
      <c r="D980" s="21"/>
    </row>
    <row r="981" spans="1:4" ht="13">
      <c r="A981" s="21"/>
      <c r="B981" s="21"/>
      <c r="C981" s="21"/>
      <c r="D981" s="21"/>
    </row>
    <row r="982" spans="1:4" ht="13">
      <c r="A982" s="21"/>
      <c r="B982" s="21"/>
      <c r="C982" s="21"/>
      <c r="D982" s="21"/>
    </row>
    <row r="983" spans="1:4" ht="13">
      <c r="A983" s="21"/>
      <c r="B983" s="21"/>
      <c r="C983" s="21"/>
      <c r="D983" s="21"/>
    </row>
    <row r="984" spans="1:4" ht="13">
      <c r="A984" s="21"/>
      <c r="B984" s="21"/>
      <c r="C984" s="21"/>
      <c r="D984" s="21"/>
    </row>
    <row r="985" spans="1:4" ht="13">
      <c r="A985" s="21"/>
      <c r="B985" s="21"/>
      <c r="C985" s="21"/>
      <c r="D985" s="21"/>
    </row>
    <row r="986" spans="1:4" ht="13">
      <c r="A986" s="21"/>
      <c r="B986" s="21"/>
      <c r="C986" s="21"/>
      <c r="D986" s="21"/>
    </row>
    <row r="987" spans="1:4" ht="13">
      <c r="A987" s="21"/>
      <c r="B987" s="21"/>
      <c r="C987" s="21"/>
      <c r="D987" s="21"/>
    </row>
    <row r="988" spans="1:4" ht="13">
      <c r="A988" s="21"/>
      <c r="B988" s="21"/>
      <c r="C988" s="21"/>
      <c r="D988" s="21"/>
    </row>
    <row r="989" spans="1:4" ht="13">
      <c r="A989" s="21"/>
      <c r="B989" s="21"/>
      <c r="C989" s="21"/>
      <c r="D989" s="21"/>
    </row>
    <row r="990" spans="1:4" ht="13">
      <c r="A990" s="21"/>
      <c r="B990" s="21"/>
      <c r="C990" s="21"/>
      <c r="D990" s="21"/>
    </row>
    <row r="991" spans="1:4" ht="13">
      <c r="A991" s="21"/>
      <c r="B991" s="21"/>
      <c r="C991" s="21"/>
      <c r="D991" s="21"/>
    </row>
    <row r="992" spans="1:4" ht="13">
      <c r="A992" s="21"/>
      <c r="B992" s="21"/>
      <c r="C992" s="21"/>
      <c r="D992" s="21"/>
    </row>
    <row r="993" spans="1:4" ht="13">
      <c r="A993" s="21"/>
      <c r="B993" s="21"/>
      <c r="C993" s="21"/>
      <c r="D993" s="21"/>
    </row>
    <row r="994" spans="1:4" ht="13">
      <c r="A994" s="21"/>
      <c r="B994" s="21"/>
      <c r="C994" s="21"/>
      <c r="D994" s="21"/>
    </row>
    <row r="995" spans="1:4" ht="13">
      <c r="A995" s="21"/>
      <c r="B995" s="21"/>
      <c r="C995" s="21"/>
      <c r="D995" s="21"/>
    </row>
    <row r="996" spans="1:4" ht="13">
      <c r="A996" s="21"/>
      <c r="B996" s="21"/>
      <c r="C996" s="21"/>
      <c r="D996" s="21"/>
    </row>
  </sheetData>
  <mergeCells count="1">
    <mergeCell ref="F4:K16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999"/>
  <sheetViews>
    <sheetView workbookViewId="0">
      <selection activeCell="M25" sqref="M25"/>
    </sheetView>
  </sheetViews>
  <sheetFormatPr baseColWidth="10" defaultColWidth="12.6640625" defaultRowHeight="15.75" customHeight="1"/>
  <cols>
    <col min="2" max="2" width="7.6640625" bestFit="1" customWidth="1"/>
  </cols>
  <sheetData>
    <row r="1" spans="1:10" ht="15.75" customHeight="1">
      <c r="A1" s="23" t="str">
        <f ca="1">IFERROR(__xludf.DUMMYFUNCTION("IMPORTRANGE(""https://docs.google.com/spreadsheets/d/1eaVzK6FcHCiSWH6vlneKycaHdBQH67V1d-FjgY0Xsl4/edit?gid=2041763424#gid=2041763424"",""Refurbished iPhone!A:D"")"),"Model")</f>
        <v>Model</v>
      </c>
      <c r="B1" s="24" t="str">
        <f ca="1">IFERROR(__xludf.DUMMYFUNCTION("""COMPUTED_VALUE"""),"Grade")</f>
        <v>Grade</v>
      </c>
      <c r="C1" s="24" t="str">
        <f ca="1">IFERROR(__xludf.DUMMYFUNCTION("""COMPUTED_VALUE"""),"Version")</f>
        <v>Version</v>
      </c>
      <c r="D1" s="24" t="str">
        <f ca="1">IFERROR(__xludf.DUMMYFUNCTION("""COMPUTED_VALUE"""),"Price")</f>
        <v>Price</v>
      </c>
    </row>
    <row r="2" spans="1:10" ht="15.75" customHeight="1">
      <c r="A2" s="23" t="str">
        <f ca="1">IFERROR(__xludf.DUMMYFUNCTION("""COMPUTED_VALUE"""),"i11 128")</f>
        <v>i11 128</v>
      </c>
      <c r="B2" s="24" t="str">
        <f ca="1">IFERROR(__xludf.DUMMYFUNCTION("""COMPUTED_VALUE"""),"A+")</f>
        <v>A+</v>
      </c>
      <c r="C2" s="24" t="str">
        <f ca="1">IFERROR(__xludf.DUMMYFUNCTION("""COMPUTED_VALUE"""),"CN")</f>
        <v>CN</v>
      </c>
      <c r="D2" s="24">
        <f ca="1">IFERROR(__xludf.DUMMYFUNCTION("""COMPUTED_VALUE"""),176.144705922098)</f>
        <v>176.14470592209801</v>
      </c>
      <c r="F2" s="39" t="s">
        <v>43</v>
      </c>
      <c r="G2" s="39"/>
      <c r="H2" s="39"/>
      <c r="I2" s="39"/>
      <c r="J2" s="39"/>
    </row>
    <row r="3" spans="1:10" ht="15.75" customHeight="1">
      <c r="A3" s="23" t="str">
        <f ca="1">IFERROR(__xludf.DUMMYFUNCTION("""COMPUTED_VALUE"""),"i11 128")</f>
        <v>i11 128</v>
      </c>
      <c r="B3" s="24" t="str">
        <f ca="1">IFERROR(__xludf.DUMMYFUNCTION("""COMPUTED_VALUE"""),"A+")</f>
        <v>A+</v>
      </c>
      <c r="C3" s="24" t="str">
        <f ca="1">IFERROR(__xludf.DUMMYFUNCTION("""COMPUTED_VALUE"""),"Intl")</f>
        <v>Intl</v>
      </c>
      <c r="D3" s="24">
        <f ca="1">IFERROR(__xludf.DUMMYFUNCTION("""COMPUTED_VALUE"""),185.326698053063)</f>
        <v>185.32669805306301</v>
      </c>
      <c r="F3" s="39"/>
      <c r="G3" s="39"/>
      <c r="H3" s="39"/>
      <c r="I3" s="39"/>
      <c r="J3" s="39"/>
    </row>
    <row r="4" spans="1:10" ht="15.75" customHeight="1">
      <c r="A4" s="23" t="str">
        <f ca="1">IFERROR(__xludf.DUMMYFUNCTION("""COMPUTED_VALUE"""),"i11 128")</f>
        <v>i11 128</v>
      </c>
      <c r="B4" s="24" t="str">
        <f ca="1">IFERROR(__xludf.DUMMYFUNCTION("""COMPUTED_VALUE"""),"A+")</f>
        <v>A+</v>
      </c>
      <c r="C4" s="24" t="str">
        <f ca="1">IFERROR(__xludf.DUMMYFUNCTION("""COMPUTED_VALUE"""),"US")</f>
        <v>US</v>
      </c>
      <c r="D4" s="24">
        <f ca="1">IFERROR(__xludf.DUMMYFUNCTION("""COMPUTED_VALUE"""),185.326698053063)</f>
        <v>185.32669805306301</v>
      </c>
      <c r="F4" s="39"/>
      <c r="G4" s="39"/>
      <c r="H4" s="39"/>
      <c r="I4" s="39"/>
      <c r="J4" s="39"/>
    </row>
    <row r="5" spans="1:10" ht="15.75" customHeight="1">
      <c r="A5" s="23" t="str">
        <f ca="1">IFERROR(__xludf.DUMMYFUNCTION("""COMPUTED_VALUE"""),"i11 256")</f>
        <v>i11 256</v>
      </c>
      <c r="B5" s="24" t="str">
        <f ca="1">IFERROR(__xludf.DUMMYFUNCTION("""COMPUTED_VALUE"""),"A+")</f>
        <v>A+</v>
      </c>
      <c r="C5" s="24" t="str">
        <f ca="1">IFERROR(__xludf.DUMMYFUNCTION("""COMPUTED_VALUE"""),"CN")</f>
        <v>CN</v>
      </c>
      <c r="D5" s="24">
        <f ca="1">IFERROR(__xludf.DUMMYFUNCTION("""COMPUTED_VALUE"""),203.614429275021)</f>
        <v>203.614429275021</v>
      </c>
      <c r="F5" s="39"/>
      <c r="G5" s="39"/>
      <c r="H5" s="39"/>
      <c r="I5" s="39"/>
      <c r="J5" s="39"/>
    </row>
    <row r="6" spans="1:10" ht="15.75" customHeight="1">
      <c r="A6" s="23" t="str">
        <f ca="1">IFERROR(__xludf.DUMMYFUNCTION("""COMPUTED_VALUE"""),"i11 256")</f>
        <v>i11 256</v>
      </c>
      <c r="B6" s="24" t="str">
        <f ca="1">IFERROR(__xludf.DUMMYFUNCTION("""COMPUTED_VALUE"""),"A+")</f>
        <v>A+</v>
      </c>
      <c r="C6" s="24" t="str">
        <f ca="1">IFERROR(__xludf.DUMMYFUNCTION("""COMPUTED_VALUE"""),"Intl")</f>
        <v>Intl</v>
      </c>
      <c r="D6" s="24">
        <f ca="1">IFERROR(__xludf.DUMMYFUNCTION("""COMPUTED_VALUE"""),199.394183608415)</f>
        <v>199.39418360841501</v>
      </c>
      <c r="F6" s="39"/>
      <c r="G6" s="39"/>
      <c r="H6" s="39"/>
      <c r="I6" s="39"/>
      <c r="J6" s="39"/>
    </row>
    <row r="7" spans="1:10" ht="15.75" customHeight="1">
      <c r="A7" s="23" t="str">
        <f ca="1">IFERROR(__xludf.DUMMYFUNCTION("""COMPUTED_VALUE"""),"i11 256")</f>
        <v>i11 256</v>
      </c>
      <c r="B7" s="24" t="str">
        <f ca="1">IFERROR(__xludf.DUMMYFUNCTION("""COMPUTED_VALUE"""),"A+")</f>
        <v>A+</v>
      </c>
      <c r="C7" s="24" t="str">
        <f ca="1">IFERROR(__xludf.DUMMYFUNCTION("""COMPUTED_VALUE"""),"US")</f>
        <v>US</v>
      </c>
      <c r="D7" s="24">
        <f ca="1">IFERROR(__xludf.DUMMYFUNCTION("""COMPUTED_VALUE"""),199.394183608415)</f>
        <v>199.39418360841501</v>
      </c>
      <c r="F7" s="39"/>
      <c r="G7" s="39"/>
      <c r="H7" s="39"/>
      <c r="I7" s="39"/>
      <c r="J7" s="39"/>
    </row>
    <row r="8" spans="1:10" ht="15.75" customHeight="1">
      <c r="A8" s="23" t="str">
        <f ca="1">IFERROR(__xludf.DUMMYFUNCTION("""COMPUTED_VALUE"""),"i12 128")</f>
        <v>i12 128</v>
      </c>
      <c r="B8" s="24" t="str">
        <f ca="1">IFERROR(__xludf.DUMMYFUNCTION("""COMPUTED_VALUE"""),"A+")</f>
        <v>A+</v>
      </c>
      <c r="C8" s="24" t="str">
        <f ca="1">IFERROR(__xludf.DUMMYFUNCTION("""COMPUTED_VALUE"""),"CN")</f>
        <v>CN</v>
      </c>
      <c r="D8" s="24">
        <f ca="1">IFERROR(__xludf.DUMMYFUNCTION("""COMPUTED_VALUE"""),198.158611124423)</f>
        <v>198.158611124423</v>
      </c>
      <c r="F8" s="39"/>
      <c r="G8" s="39"/>
      <c r="H8" s="39"/>
      <c r="I8" s="39"/>
      <c r="J8" s="39"/>
    </row>
    <row r="9" spans="1:10" ht="15.75" customHeight="1">
      <c r="A9" s="23" t="str">
        <f ca="1">IFERROR(__xludf.DUMMYFUNCTION("""COMPUTED_VALUE"""),"i12 128")</f>
        <v>i12 128</v>
      </c>
      <c r="B9" s="24" t="str">
        <f ca="1">IFERROR(__xludf.DUMMYFUNCTION("""COMPUTED_VALUE"""),"A+")</f>
        <v>A+</v>
      </c>
      <c r="C9" s="24" t="str">
        <f ca="1">IFERROR(__xludf.DUMMYFUNCTION("""COMPUTED_VALUE"""),"Intl")</f>
        <v>Intl</v>
      </c>
      <c r="D9" s="24">
        <f ca="1">IFERROR(__xludf.DUMMYFUNCTION("""COMPUTED_VALUE"""),210.077847326486)</f>
        <v>210.07784732648599</v>
      </c>
      <c r="F9" s="39"/>
      <c r="G9" s="39"/>
      <c r="H9" s="39"/>
      <c r="I9" s="39"/>
      <c r="J9" s="39"/>
    </row>
    <row r="10" spans="1:10" ht="15.75" customHeight="1">
      <c r="A10" s="23" t="str">
        <f ca="1">IFERROR(__xludf.DUMMYFUNCTION("""COMPUTED_VALUE"""),"i12 128")</f>
        <v>i12 128</v>
      </c>
      <c r="B10" s="24" t="str">
        <f ca="1">IFERROR(__xludf.DUMMYFUNCTION("""COMPUTED_VALUE"""),"A+")</f>
        <v>A+</v>
      </c>
      <c r="C10" s="24" t="str">
        <f ca="1">IFERROR(__xludf.DUMMYFUNCTION("""COMPUTED_VALUE"""),"US")</f>
        <v>US</v>
      </c>
      <c r="D10" s="24">
        <f ca="1">IFERROR(__xludf.DUMMYFUNCTION("""COMPUTED_VALUE"""),210.077847326486)</f>
        <v>210.07784732648599</v>
      </c>
      <c r="F10" s="39"/>
      <c r="G10" s="39"/>
      <c r="H10" s="39"/>
      <c r="I10" s="39"/>
      <c r="J10" s="39"/>
    </row>
    <row r="11" spans="1:10" ht="15.75" customHeight="1">
      <c r="A11" s="23" t="str">
        <f ca="1">IFERROR(__xludf.DUMMYFUNCTION("""COMPUTED_VALUE"""),"i12 256")</f>
        <v>i12 256</v>
      </c>
      <c r="B11" s="24" t="str">
        <f ca="1">IFERROR(__xludf.DUMMYFUNCTION("""COMPUTED_VALUE"""),"A+")</f>
        <v>A+</v>
      </c>
      <c r="C11" s="24" t="str">
        <f ca="1">IFERROR(__xludf.DUMMYFUNCTION("""COMPUTED_VALUE"""),"CN")</f>
        <v>CN</v>
      </c>
      <c r="D11" s="24">
        <f ca="1">IFERROR(__xludf.DUMMYFUNCTION("""COMPUTED_VALUE"""),216.415841130392)</f>
        <v>216.41584113039201</v>
      </c>
      <c r="F11" s="39"/>
      <c r="G11" s="39"/>
      <c r="H11" s="39"/>
      <c r="I11" s="39"/>
      <c r="J11" s="39"/>
    </row>
    <row r="12" spans="1:10" ht="15.75" customHeight="1">
      <c r="A12" s="23" t="str">
        <f ca="1">IFERROR(__xludf.DUMMYFUNCTION("""COMPUTED_VALUE"""),"i12 64")</f>
        <v>i12 64</v>
      </c>
      <c r="B12" s="24" t="str">
        <f ca="1">IFERROR(__xludf.DUMMYFUNCTION("""COMPUTED_VALUE"""),"A+")</f>
        <v>A+</v>
      </c>
      <c r="C12" s="24" t="str">
        <f ca="1">IFERROR(__xludf.DUMMYFUNCTION("""COMPUTED_VALUE"""),"CN")</f>
        <v>CN</v>
      </c>
      <c r="D12" s="24">
        <f ca="1">IFERROR(__xludf.DUMMYFUNCTION("""COMPUTED_VALUE"""),186.889372072147)</f>
        <v>186.88937207214701</v>
      </c>
      <c r="F12" s="39"/>
      <c r="G12" s="39"/>
      <c r="H12" s="39"/>
      <c r="I12" s="39"/>
      <c r="J12" s="39"/>
    </row>
    <row r="13" spans="1:10" ht="15.75" customHeight="1">
      <c r="A13" s="23" t="str">
        <f ca="1">IFERROR(__xludf.DUMMYFUNCTION("""COMPUTED_VALUE"""),"i12 64")</f>
        <v>i12 64</v>
      </c>
      <c r="B13" s="24" t="str">
        <f ca="1">IFERROR(__xludf.DUMMYFUNCTION("""COMPUTED_VALUE"""),"A+")</f>
        <v>A+</v>
      </c>
      <c r="C13" s="24" t="str">
        <f ca="1">IFERROR(__xludf.DUMMYFUNCTION("""COMPUTED_VALUE"""),"Intl")</f>
        <v>Intl</v>
      </c>
      <c r="D13" s="24">
        <f ca="1">IFERROR(__xludf.DUMMYFUNCTION("""COMPUTED_VALUE"""),193.923114849823)</f>
        <v>193.92311484982301</v>
      </c>
      <c r="F13" s="39"/>
      <c r="G13" s="39"/>
      <c r="H13" s="39"/>
      <c r="I13" s="39"/>
      <c r="J13" s="39"/>
    </row>
    <row r="14" spans="1:10" ht="15.75" customHeight="1">
      <c r="A14" s="23" t="str">
        <f ca="1">IFERROR(__xludf.DUMMYFUNCTION("""COMPUTED_VALUE"""),"i12 64")</f>
        <v>i12 64</v>
      </c>
      <c r="B14" s="24" t="str">
        <f ca="1">IFERROR(__xludf.DUMMYFUNCTION("""COMPUTED_VALUE"""),"A+")</f>
        <v>A+</v>
      </c>
      <c r="C14" s="24" t="str">
        <f ca="1">IFERROR(__xludf.DUMMYFUNCTION("""COMPUTED_VALUE"""),"US")</f>
        <v>US</v>
      </c>
      <c r="D14" s="24">
        <f ca="1">IFERROR(__xludf.DUMMYFUNCTION("""COMPUTED_VALUE"""),194.618863823593)</f>
        <v>194.61886382359299</v>
      </c>
      <c r="F14" s="39"/>
      <c r="G14" s="39"/>
      <c r="H14" s="39"/>
      <c r="I14" s="39"/>
      <c r="J14" s="39"/>
    </row>
    <row r="15" spans="1:10" ht="15.75" customHeight="1">
      <c r="A15" s="23" t="str">
        <f ca="1">IFERROR(__xludf.DUMMYFUNCTION("""COMPUTED_VALUE"""),"i12mn 128")</f>
        <v>i12mn 128</v>
      </c>
      <c r="B15" s="24" t="str">
        <f ca="1">IFERROR(__xludf.DUMMYFUNCTION("""COMPUTED_VALUE"""),"A+")</f>
        <v>A+</v>
      </c>
      <c r="C15" s="24" t="str">
        <f ca="1">IFERROR(__xludf.DUMMYFUNCTION("""COMPUTED_VALUE"""),"CN")</f>
        <v>CN</v>
      </c>
      <c r="D15" s="24">
        <f ca="1">IFERROR(__xludf.DUMMYFUNCTION("""COMPUTED_VALUE"""),167.749966412871)</f>
        <v>167.749966412871</v>
      </c>
      <c r="F15" s="39"/>
      <c r="G15" s="39"/>
      <c r="H15" s="39"/>
      <c r="I15" s="39"/>
      <c r="J15" s="39"/>
    </row>
    <row r="16" spans="1:10" ht="15.75" customHeight="1">
      <c r="A16" s="23" t="str">
        <f ca="1">IFERROR(__xludf.DUMMYFUNCTION("""COMPUTED_VALUE"""),"i12mn 128")</f>
        <v>i12mn 128</v>
      </c>
      <c r="B16" s="24" t="str">
        <f ca="1">IFERROR(__xludf.DUMMYFUNCTION("""COMPUTED_VALUE"""),"A+")</f>
        <v>A+</v>
      </c>
      <c r="C16" s="24" t="str">
        <f ca="1">IFERROR(__xludf.DUMMYFUNCTION("""COMPUTED_VALUE"""),"Intl")</f>
        <v>Intl</v>
      </c>
      <c r="D16" s="24">
        <f ca="1">IFERROR(__xludf.DUMMYFUNCTION("""COMPUTED_VALUE"""),174.118461432766)</f>
        <v>174.118461432766</v>
      </c>
      <c r="F16" s="39"/>
      <c r="G16" s="39"/>
      <c r="H16" s="39"/>
      <c r="I16" s="39"/>
      <c r="J16" s="39"/>
    </row>
    <row r="17" spans="1:11" ht="15.75" customHeight="1">
      <c r="A17" s="23" t="str">
        <f ca="1">IFERROR(__xludf.DUMMYFUNCTION("""COMPUTED_VALUE"""),"i12mn 128")</f>
        <v>i12mn 128</v>
      </c>
      <c r="B17" s="24" t="str">
        <f ca="1">IFERROR(__xludf.DUMMYFUNCTION("""COMPUTED_VALUE"""),"A+")</f>
        <v>A+</v>
      </c>
      <c r="C17" s="24" t="str">
        <f ca="1">IFERROR(__xludf.DUMMYFUNCTION("""COMPUTED_VALUE"""),"US")</f>
        <v>US</v>
      </c>
      <c r="D17" s="24">
        <f ca="1">IFERROR(__xludf.DUMMYFUNCTION("""COMPUTED_VALUE"""),174.118461432766)</f>
        <v>174.118461432766</v>
      </c>
      <c r="F17" s="27"/>
    </row>
    <row r="18" spans="1:11" ht="15.75" customHeight="1">
      <c r="A18" s="23" t="str">
        <f ca="1">IFERROR(__xludf.DUMMYFUNCTION("""COMPUTED_VALUE"""),"i12mn 256")</f>
        <v>i12mn 256</v>
      </c>
      <c r="B18" s="24" t="str">
        <f ca="1">IFERROR(__xludf.DUMMYFUNCTION("""COMPUTED_VALUE"""),"A+")</f>
        <v>A+</v>
      </c>
      <c r="C18" s="24" t="str">
        <f ca="1">IFERROR(__xludf.DUMMYFUNCTION("""COMPUTED_VALUE"""),"CN")</f>
        <v>CN</v>
      </c>
      <c r="D18" s="24">
        <f ca="1">IFERROR(__xludf.DUMMYFUNCTION("""COMPUTED_VALUE"""),189.546943719669)</f>
        <v>189.546943719669</v>
      </c>
      <c r="F18" s="39" t="s">
        <v>41</v>
      </c>
      <c r="G18" s="39"/>
      <c r="H18" s="39"/>
      <c r="I18" s="39"/>
      <c r="J18" s="39"/>
    </row>
    <row r="19" spans="1:11" ht="15.75" customHeight="1">
      <c r="A19" s="23" t="str">
        <f ca="1">IFERROR(__xludf.DUMMYFUNCTION("""COMPUTED_VALUE"""),"i12mn 256")</f>
        <v>i12mn 256</v>
      </c>
      <c r="B19" s="24" t="str">
        <f ca="1">IFERROR(__xludf.DUMMYFUNCTION("""COMPUTED_VALUE"""),"A+")</f>
        <v>A+</v>
      </c>
      <c r="C19" s="24" t="str">
        <f ca="1">IFERROR(__xludf.DUMMYFUNCTION("""COMPUTED_VALUE"""),"Intl")</f>
        <v>Intl</v>
      </c>
      <c r="D19" s="24">
        <f ca="1">IFERROR(__xludf.DUMMYFUNCTION("""COMPUTED_VALUE"""),196.59593710534)</f>
        <v>196.59593710534</v>
      </c>
      <c r="F19" s="39"/>
      <c r="G19" s="39"/>
      <c r="H19" s="39"/>
      <c r="I19" s="39"/>
      <c r="J19" s="39"/>
    </row>
    <row r="20" spans="1:11" ht="15.75" customHeight="1">
      <c r="A20" s="23" t="str">
        <f ca="1">IFERROR(__xludf.DUMMYFUNCTION("""COMPUTED_VALUE"""),"i12mn 256")</f>
        <v>i12mn 256</v>
      </c>
      <c r="B20" s="24" t="str">
        <f ca="1">IFERROR(__xludf.DUMMYFUNCTION("""COMPUTED_VALUE"""),"A+")</f>
        <v>A+</v>
      </c>
      <c r="C20" s="24" t="str">
        <f ca="1">IFERROR(__xludf.DUMMYFUNCTION("""COMPUTED_VALUE"""),"US")</f>
        <v>US</v>
      </c>
      <c r="D20" s="24">
        <f ca="1">IFERROR(__xludf.DUMMYFUNCTION("""COMPUTED_VALUE"""),196.59593710534)</f>
        <v>196.59593710534</v>
      </c>
      <c r="F20" s="39"/>
      <c r="G20" s="39"/>
      <c r="H20" s="39"/>
      <c r="I20" s="39"/>
      <c r="J20" s="39"/>
    </row>
    <row r="21" spans="1:11" ht="15.75" customHeight="1">
      <c r="A21" s="23" t="str">
        <f ca="1">IFERROR(__xludf.DUMMYFUNCTION("""COMPUTED_VALUE"""),"i12mn 64")</f>
        <v>i12mn 64</v>
      </c>
      <c r="B21" s="24" t="str">
        <f ca="1">IFERROR(__xludf.DUMMYFUNCTION("""COMPUTED_VALUE"""),"A+")</f>
        <v>A+</v>
      </c>
      <c r="C21" s="24" t="str">
        <f ca="1">IFERROR(__xludf.DUMMYFUNCTION("""COMPUTED_VALUE"""),"CN")</f>
        <v>CN</v>
      </c>
      <c r="D21" s="24">
        <f ca="1">IFERROR(__xludf.DUMMYFUNCTION("""COMPUTED_VALUE"""),154.378229831289)</f>
        <v>154.37822983128899</v>
      </c>
      <c r="F21" s="39"/>
      <c r="G21" s="39"/>
      <c r="H21" s="39"/>
      <c r="I21" s="39"/>
      <c r="J21" s="39"/>
      <c r="K21" s="27"/>
    </row>
    <row r="22" spans="1:11" ht="15.75" customHeight="1">
      <c r="A22" s="23" t="str">
        <f ca="1">IFERROR(__xludf.DUMMYFUNCTION("""COMPUTED_VALUE"""),"i12mn 64")</f>
        <v>i12mn 64</v>
      </c>
      <c r="B22" s="24" t="str">
        <f ca="1">IFERROR(__xludf.DUMMYFUNCTION("""COMPUTED_VALUE"""),"A+")</f>
        <v>A+</v>
      </c>
      <c r="C22" s="24" t="str">
        <f ca="1">IFERROR(__xludf.DUMMYFUNCTION("""COMPUTED_VALUE"""),"Intl")</f>
        <v>Intl</v>
      </c>
      <c r="D22" s="24">
        <f ca="1">IFERROR(__xludf.DUMMYFUNCTION("""COMPUTED_VALUE"""),162.8187211645)</f>
        <v>162.8187211645</v>
      </c>
      <c r="F22" s="39"/>
      <c r="G22" s="39"/>
      <c r="H22" s="39"/>
      <c r="I22" s="39"/>
      <c r="J22" s="39"/>
      <c r="K22" s="27"/>
    </row>
    <row r="23" spans="1:11" ht="15.75" customHeight="1">
      <c r="A23" s="23" t="str">
        <f ca="1">IFERROR(__xludf.DUMMYFUNCTION("""COMPUTED_VALUE"""),"i12mn 64")</f>
        <v>i12mn 64</v>
      </c>
      <c r="B23" s="24" t="str">
        <f ca="1">IFERROR(__xludf.DUMMYFUNCTION("""COMPUTED_VALUE"""),"A+")</f>
        <v>A+</v>
      </c>
      <c r="C23" s="24" t="str">
        <f ca="1">IFERROR(__xludf.DUMMYFUNCTION("""COMPUTED_VALUE"""),"US")</f>
        <v>US</v>
      </c>
      <c r="D23" s="24">
        <f ca="1">IFERROR(__xludf.DUMMYFUNCTION("""COMPUTED_VALUE"""),162.8187211645)</f>
        <v>162.8187211645</v>
      </c>
      <c r="F23" s="39"/>
      <c r="G23" s="39"/>
      <c r="H23" s="39"/>
      <c r="I23" s="39"/>
      <c r="J23" s="39"/>
    </row>
    <row r="24" spans="1:11" ht="15.75" customHeight="1">
      <c r="A24" s="23" t="str">
        <f ca="1">IFERROR(__xludf.DUMMYFUNCTION("""COMPUTED_VALUE"""),"i12p 128")</f>
        <v>i12p 128</v>
      </c>
      <c r="B24" s="24" t="str">
        <f ca="1">IFERROR(__xludf.DUMMYFUNCTION("""COMPUTED_VALUE"""),"A+")</f>
        <v>A+</v>
      </c>
      <c r="C24" s="24" t="str">
        <f ca="1">IFERROR(__xludf.DUMMYFUNCTION("""COMPUTED_VALUE"""),"CN")</f>
        <v>CN</v>
      </c>
      <c r="D24" s="24">
        <f ca="1">IFERROR(__xludf.DUMMYFUNCTION("""COMPUTED_VALUE"""),251.13413219632)</f>
        <v>251.13413219632</v>
      </c>
      <c r="F24" s="39"/>
      <c r="G24" s="39"/>
      <c r="H24" s="39"/>
      <c r="I24" s="39"/>
      <c r="J24" s="39"/>
    </row>
    <row r="25" spans="1:11" ht="15.75" customHeight="1">
      <c r="A25" s="23" t="str">
        <f ca="1">IFERROR(__xludf.DUMMYFUNCTION("""COMPUTED_VALUE"""),"i12p 128")</f>
        <v>i12p 128</v>
      </c>
      <c r="B25" s="24" t="str">
        <f ca="1">IFERROR(__xludf.DUMMYFUNCTION("""COMPUTED_VALUE"""),"A+")</f>
        <v>A+</v>
      </c>
      <c r="C25" s="24" t="str">
        <f ca="1">IFERROR(__xludf.DUMMYFUNCTION("""COMPUTED_VALUE"""),"Intl")</f>
        <v>Intl</v>
      </c>
      <c r="D25" s="24">
        <f ca="1">IFERROR(__xludf.DUMMYFUNCTION("""COMPUTED_VALUE"""),254.612877065171)</f>
        <v>254.61287706517101</v>
      </c>
      <c r="F25" s="39"/>
      <c r="G25" s="39"/>
      <c r="H25" s="39"/>
      <c r="I25" s="39"/>
      <c r="J25" s="39"/>
    </row>
    <row r="26" spans="1:11" ht="15.75" customHeight="1">
      <c r="A26" s="23" t="str">
        <f ca="1">IFERROR(__xludf.DUMMYFUNCTION("""COMPUTED_VALUE"""),"i12p 128")</f>
        <v>i12p 128</v>
      </c>
      <c r="B26" s="24" t="str">
        <f ca="1">IFERROR(__xludf.DUMMYFUNCTION("""COMPUTED_VALUE"""),"A+")</f>
        <v>A+</v>
      </c>
      <c r="C26" s="24" t="str">
        <f ca="1">IFERROR(__xludf.DUMMYFUNCTION("""COMPUTED_VALUE"""),"US")</f>
        <v>US</v>
      </c>
      <c r="D26" s="24">
        <f ca="1">IFERROR(__xludf.DUMMYFUNCTION("""COMPUTED_VALUE"""),254.612877065171)</f>
        <v>254.61287706517101</v>
      </c>
      <c r="F26" s="39"/>
      <c r="G26" s="39"/>
      <c r="H26" s="39"/>
      <c r="I26" s="39"/>
      <c r="J26" s="39"/>
    </row>
    <row r="27" spans="1:11" ht="15.75" customHeight="1">
      <c r="A27" s="23" t="str">
        <f ca="1">IFERROR(__xludf.DUMMYFUNCTION("""COMPUTED_VALUE"""),"i12p 256")</f>
        <v>i12p 256</v>
      </c>
      <c r="B27" s="24" t="str">
        <f ca="1">IFERROR(__xludf.DUMMYFUNCTION("""COMPUTED_VALUE"""),"A+")</f>
        <v>A+</v>
      </c>
      <c r="C27" s="24" t="str">
        <f ca="1">IFERROR(__xludf.DUMMYFUNCTION("""COMPUTED_VALUE"""),"CN")</f>
        <v>CN</v>
      </c>
      <c r="D27" s="24">
        <f ca="1">IFERROR(__xludf.DUMMYFUNCTION("""COMPUTED_VALUE"""),272.235360529349)</f>
        <v>272.23536052934901</v>
      </c>
      <c r="F27" s="39"/>
      <c r="G27" s="39"/>
      <c r="H27" s="39"/>
      <c r="I27" s="39"/>
      <c r="J27" s="39"/>
    </row>
    <row r="28" spans="1:11" ht="15.75" customHeight="1">
      <c r="A28" s="23" t="str">
        <f ca="1">IFERROR(__xludf.DUMMYFUNCTION("""COMPUTED_VALUE"""),"i12p 256")</f>
        <v>i12p 256</v>
      </c>
      <c r="B28" s="24" t="str">
        <f ca="1">IFERROR(__xludf.DUMMYFUNCTION("""COMPUTED_VALUE"""),"A+")</f>
        <v>A+</v>
      </c>
      <c r="C28" s="24" t="str">
        <f ca="1">IFERROR(__xludf.DUMMYFUNCTION("""COMPUTED_VALUE"""),"Intl")</f>
        <v>Intl</v>
      </c>
      <c r="D28" s="24">
        <f ca="1">IFERROR(__xludf.DUMMYFUNCTION("""COMPUTED_VALUE"""),275.849810668109)</f>
        <v>275.849810668109</v>
      </c>
      <c r="F28" s="39"/>
      <c r="G28" s="39"/>
      <c r="H28" s="39"/>
      <c r="I28" s="39"/>
      <c r="J28" s="39"/>
    </row>
    <row r="29" spans="1:11" ht="15.75" customHeight="1">
      <c r="A29" s="23" t="str">
        <f ca="1">IFERROR(__xludf.DUMMYFUNCTION("""COMPUTED_VALUE"""),"i12p 256")</f>
        <v>i12p 256</v>
      </c>
      <c r="B29" s="24" t="str">
        <f ca="1">IFERROR(__xludf.DUMMYFUNCTION("""COMPUTED_VALUE"""),"A+")</f>
        <v>A+</v>
      </c>
      <c r="C29" s="24" t="str">
        <f ca="1">IFERROR(__xludf.DUMMYFUNCTION("""COMPUTED_VALUE"""),"US")</f>
        <v>US</v>
      </c>
      <c r="D29" s="24">
        <f ca="1">IFERROR(__xludf.DUMMYFUNCTION("""COMPUTED_VALUE"""),275.849810668109)</f>
        <v>275.849810668109</v>
      </c>
      <c r="F29" s="39"/>
      <c r="G29" s="39"/>
      <c r="H29" s="39"/>
      <c r="I29" s="39"/>
      <c r="J29" s="39"/>
    </row>
    <row r="30" spans="1:11" ht="15.75" customHeight="1">
      <c r="A30" s="23" t="str">
        <f ca="1">IFERROR(__xludf.DUMMYFUNCTION("""COMPUTED_VALUE"""),"i12pm 128")</f>
        <v>i12pm 128</v>
      </c>
      <c r="B30" s="24" t="str">
        <f ca="1">IFERROR(__xludf.DUMMYFUNCTION("""COMPUTED_VALUE"""),"A+")</f>
        <v>A+</v>
      </c>
      <c r="C30" s="24" t="str">
        <f ca="1">IFERROR(__xludf.DUMMYFUNCTION("""COMPUTED_VALUE"""),"CN")</f>
        <v>CN</v>
      </c>
      <c r="D30" s="24">
        <f ca="1">IFERROR(__xludf.DUMMYFUNCTION("""COMPUTED_VALUE"""),316.549740901161)</f>
        <v>316.54974090116099</v>
      </c>
      <c r="F30" s="39"/>
      <c r="G30" s="39"/>
      <c r="H30" s="39"/>
      <c r="I30" s="39"/>
      <c r="J30" s="39"/>
    </row>
    <row r="31" spans="1:11" ht="15.75" customHeight="1">
      <c r="A31" s="23" t="str">
        <f ca="1">IFERROR(__xludf.DUMMYFUNCTION("""COMPUTED_VALUE"""),"i12pm 128")</f>
        <v>i12pm 128</v>
      </c>
      <c r="B31" s="24" t="str">
        <f ca="1">IFERROR(__xludf.DUMMYFUNCTION("""COMPUTED_VALUE"""),"A+")</f>
        <v>A+</v>
      </c>
      <c r="C31" s="24" t="str">
        <f ca="1">IFERROR(__xludf.DUMMYFUNCTION("""COMPUTED_VALUE"""),"Intl")</f>
        <v>Intl</v>
      </c>
      <c r="D31" s="24">
        <f ca="1">IFERROR(__xludf.DUMMYFUNCTION("""COMPUTED_VALUE"""),331.240535042309)</f>
        <v>331.24053504230898</v>
      </c>
      <c r="F31" s="39"/>
      <c r="G31" s="39"/>
      <c r="H31" s="39"/>
      <c r="I31" s="39"/>
      <c r="J31" s="39"/>
    </row>
    <row r="32" spans="1:11" ht="15.75" customHeight="1">
      <c r="A32" s="23" t="str">
        <f ca="1">IFERROR(__xludf.DUMMYFUNCTION("""COMPUTED_VALUE"""),"i12pm 128")</f>
        <v>i12pm 128</v>
      </c>
      <c r="B32" s="24" t="str">
        <f ca="1">IFERROR(__xludf.DUMMYFUNCTION("""COMPUTED_VALUE"""),"A+")</f>
        <v>A+</v>
      </c>
      <c r="C32" s="24" t="str">
        <f ca="1">IFERROR(__xludf.DUMMYFUNCTION("""COMPUTED_VALUE"""),"US")</f>
        <v>US</v>
      </c>
      <c r="D32" s="24">
        <f ca="1">IFERROR(__xludf.DUMMYFUNCTION("""COMPUTED_VALUE"""),331.240535042309)</f>
        <v>331.24053504230898</v>
      </c>
      <c r="F32" s="39"/>
      <c r="G32" s="39"/>
      <c r="H32" s="39"/>
      <c r="I32" s="39"/>
      <c r="J32" s="39"/>
    </row>
    <row r="33" spans="1:10" ht="15.75" customHeight="1">
      <c r="A33" s="23" t="str">
        <f ca="1">IFERROR(__xludf.DUMMYFUNCTION("""COMPUTED_VALUE"""),"i12pm 256")</f>
        <v>i12pm 256</v>
      </c>
      <c r="B33" s="24" t="str">
        <f ca="1">IFERROR(__xludf.DUMMYFUNCTION("""COMPUTED_VALUE"""),"A+")</f>
        <v>A+</v>
      </c>
      <c r="C33" s="24" t="str">
        <f ca="1">IFERROR(__xludf.DUMMYFUNCTION("""COMPUTED_VALUE"""),"CN")</f>
        <v>CN</v>
      </c>
      <c r="D33" s="24">
        <f ca="1">IFERROR(__xludf.DUMMYFUNCTION("""COMPUTED_VALUE"""),346.091460567401)</f>
        <v>346.09146056740099</v>
      </c>
      <c r="F33" s="39"/>
      <c r="G33" s="39"/>
      <c r="H33" s="39"/>
      <c r="I33" s="39"/>
      <c r="J33" s="39"/>
    </row>
    <row r="34" spans="1:10" ht="15.75" customHeight="1">
      <c r="A34" s="23" t="str">
        <f ca="1">IFERROR(__xludf.DUMMYFUNCTION("""COMPUTED_VALUE"""),"i12pm 256")</f>
        <v>i12pm 256</v>
      </c>
      <c r="B34" s="24" t="str">
        <f ca="1">IFERROR(__xludf.DUMMYFUNCTION("""COMPUTED_VALUE"""),"A+")</f>
        <v>A+</v>
      </c>
      <c r="C34" s="24" t="str">
        <f ca="1">IFERROR(__xludf.DUMMYFUNCTION("""COMPUTED_VALUE"""),"Intl")</f>
        <v>Intl</v>
      </c>
      <c r="D34" s="24">
        <f ca="1">IFERROR(__xludf.DUMMYFUNCTION("""COMPUTED_VALUE"""),357.049506904282)</f>
        <v>357.049506904282</v>
      </c>
    </row>
    <row r="35" spans="1:10" ht="15.75" customHeight="1">
      <c r="A35" s="23" t="str">
        <f ca="1">IFERROR(__xludf.DUMMYFUNCTION("""COMPUTED_VALUE"""),"i12pm 256")</f>
        <v>i12pm 256</v>
      </c>
      <c r="B35" s="24" t="str">
        <f ca="1">IFERROR(__xludf.DUMMYFUNCTION("""COMPUTED_VALUE"""),"A+")</f>
        <v>A+</v>
      </c>
      <c r="C35" s="24" t="str">
        <f ca="1">IFERROR(__xludf.DUMMYFUNCTION("""COMPUTED_VALUE"""),"US")</f>
        <v>US</v>
      </c>
      <c r="D35" s="24">
        <f ca="1">IFERROR(__xludf.DUMMYFUNCTION("""COMPUTED_VALUE"""),357.049506904282)</f>
        <v>357.049506904282</v>
      </c>
    </row>
    <row r="36" spans="1:10" ht="15.75" customHeight="1">
      <c r="A36" s="23" t="str">
        <f ca="1">IFERROR(__xludf.DUMMYFUNCTION("""COMPUTED_VALUE"""),"i13 128")</f>
        <v>i13 128</v>
      </c>
      <c r="B36" s="24" t="str">
        <f ca="1">IFERROR(__xludf.DUMMYFUNCTION("""COMPUTED_VALUE"""),"A+")</f>
        <v>A+</v>
      </c>
      <c r="C36" s="24" t="str">
        <f ca="1">IFERROR(__xludf.DUMMYFUNCTION("""COMPUTED_VALUE"""),"CN")</f>
        <v>CN</v>
      </c>
      <c r="D36" s="24">
        <f ca="1">IFERROR(__xludf.DUMMYFUNCTION("""COMPUTED_VALUE"""),277.716184570242)</f>
        <v>277.71618457024198</v>
      </c>
    </row>
    <row r="37" spans="1:10" ht="15.75" customHeight="1">
      <c r="A37" s="23" t="str">
        <f ca="1">IFERROR(__xludf.DUMMYFUNCTION("""COMPUTED_VALUE"""),"i13 128")</f>
        <v>i13 128</v>
      </c>
      <c r="B37" s="24" t="str">
        <f ca="1">IFERROR(__xludf.DUMMYFUNCTION("""COMPUTED_VALUE"""),"A+")</f>
        <v>A+</v>
      </c>
      <c r="C37" s="24" t="str">
        <f ca="1">IFERROR(__xludf.DUMMYFUNCTION("""COMPUTED_VALUE"""),"Intl")</f>
        <v>Intl</v>
      </c>
      <c r="D37" s="24">
        <f ca="1">IFERROR(__xludf.DUMMYFUNCTION("""COMPUTED_VALUE"""),280.670356536866)</f>
        <v>280.670356536866</v>
      </c>
    </row>
    <row r="38" spans="1:10" ht="15.75" customHeight="1">
      <c r="A38" s="23" t="str">
        <f ca="1">IFERROR(__xludf.DUMMYFUNCTION("""COMPUTED_VALUE"""),"i13 128")</f>
        <v>i13 128</v>
      </c>
      <c r="B38" s="24" t="str">
        <f ca="1">IFERROR(__xludf.DUMMYFUNCTION("""COMPUTED_VALUE"""),"A+")</f>
        <v>A+</v>
      </c>
      <c r="C38" s="24" t="str">
        <f ca="1">IFERROR(__xludf.DUMMYFUNCTION("""COMPUTED_VALUE"""),"US")</f>
        <v>US</v>
      </c>
      <c r="D38" s="24">
        <f ca="1">IFERROR(__xludf.DUMMYFUNCTION("""COMPUTED_VALUE"""),281.400892959325)</f>
        <v>281.40089295932501</v>
      </c>
    </row>
    <row r="39" spans="1:10" ht="15.75" customHeight="1">
      <c r="A39" s="23" t="str">
        <f ca="1">IFERROR(__xludf.DUMMYFUNCTION("""COMPUTED_VALUE"""),"i13 256")</f>
        <v>i13 256</v>
      </c>
      <c r="B39" s="24" t="str">
        <f ca="1">IFERROR(__xludf.DUMMYFUNCTION("""COMPUTED_VALUE"""),"A+")</f>
        <v>A+</v>
      </c>
      <c r="C39" s="24" t="str">
        <f ca="1">IFERROR(__xludf.DUMMYFUNCTION("""COMPUTED_VALUE"""),"CN")</f>
        <v>CN</v>
      </c>
      <c r="D39" s="24">
        <f ca="1">IFERROR(__xludf.DUMMYFUNCTION("""COMPUTED_VALUE"""),303.557182709005)</f>
        <v>303.55718270900502</v>
      </c>
    </row>
    <row r="40" spans="1:10" ht="15.75" customHeight="1">
      <c r="A40" s="23" t="str">
        <f ca="1">IFERROR(__xludf.DUMMYFUNCTION("""COMPUTED_VALUE"""),"i13 256")</f>
        <v>i13 256</v>
      </c>
      <c r="B40" s="24" t="str">
        <f ca="1">IFERROR(__xludf.DUMMYFUNCTION("""COMPUTED_VALUE"""),"A+")</f>
        <v>A+</v>
      </c>
      <c r="C40" s="24" t="str">
        <f ca="1">IFERROR(__xludf.DUMMYFUNCTION("""COMPUTED_VALUE"""),"Intl")</f>
        <v>Intl</v>
      </c>
      <c r="D40" s="24">
        <f ca="1">IFERROR(__xludf.DUMMYFUNCTION("""COMPUTED_VALUE"""),305.796831391565)</f>
        <v>305.79683139156498</v>
      </c>
    </row>
    <row r="41" spans="1:10" ht="15.75" customHeight="1">
      <c r="A41" s="23" t="str">
        <f ca="1">IFERROR(__xludf.DUMMYFUNCTION("""COMPUTED_VALUE"""),"i13 256")</f>
        <v>i13 256</v>
      </c>
      <c r="B41" s="24" t="str">
        <f ca="1">IFERROR(__xludf.DUMMYFUNCTION("""COMPUTED_VALUE"""),"A+")</f>
        <v>A+</v>
      </c>
      <c r="C41" s="24" t="str">
        <f ca="1">IFERROR(__xludf.DUMMYFUNCTION("""COMPUTED_VALUE"""),"US")</f>
        <v>US</v>
      </c>
      <c r="D41" s="24">
        <f ca="1">IFERROR(__xludf.DUMMYFUNCTION("""COMPUTED_VALUE"""),307.257904236482)</f>
        <v>307.25790423648198</v>
      </c>
    </row>
    <row r="42" spans="1:10" ht="15.75" customHeight="1">
      <c r="A42" s="23" t="str">
        <f ca="1">IFERROR(__xludf.DUMMYFUNCTION("""COMPUTED_VALUE"""),"i13mn 128")</f>
        <v>i13mn 128</v>
      </c>
      <c r="B42" s="24" t="str">
        <f ca="1">IFERROR(__xludf.DUMMYFUNCTION("""COMPUTED_VALUE"""),"A+")</f>
        <v>A+</v>
      </c>
      <c r="C42" s="24" t="str">
        <f ca="1">IFERROR(__xludf.DUMMYFUNCTION("""COMPUTED_VALUE"""),"CN")</f>
        <v>CN</v>
      </c>
      <c r="D42" s="24">
        <f ca="1">IFERROR(__xludf.DUMMYFUNCTION("""COMPUTED_VALUE"""),238.580518714468)</f>
        <v>238.58051871446801</v>
      </c>
    </row>
    <row r="43" spans="1:10" ht="15.75" customHeight="1">
      <c r="A43" s="23" t="str">
        <f ca="1">IFERROR(__xludf.DUMMYFUNCTION("""COMPUTED_VALUE"""),"i13mn 128")</f>
        <v>i13mn 128</v>
      </c>
      <c r="B43" s="24" t="str">
        <f ca="1">IFERROR(__xludf.DUMMYFUNCTION("""COMPUTED_VALUE"""),"A+")</f>
        <v>A+</v>
      </c>
      <c r="C43" s="24" t="str">
        <f ca="1">IFERROR(__xludf.DUMMYFUNCTION("""COMPUTED_VALUE"""),"Intl")</f>
        <v>Intl</v>
      </c>
      <c r="D43" s="24">
        <f ca="1">IFERROR(__xludf.DUMMYFUNCTION("""COMPUTED_VALUE"""),239.291518296233)</f>
        <v>239.29151829623299</v>
      </c>
    </row>
    <row r="44" spans="1:10" ht="15.75" customHeight="1">
      <c r="A44" s="23" t="str">
        <f ca="1">IFERROR(__xludf.DUMMYFUNCTION("""COMPUTED_VALUE"""),"i13mn 128")</f>
        <v>i13mn 128</v>
      </c>
      <c r="B44" s="24" t="str">
        <f ca="1">IFERROR(__xludf.DUMMYFUNCTION("""COMPUTED_VALUE"""),"A+")</f>
        <v>A+</v>
      </c>
      <c r="C44" s="24" t="str">
        <f ca="1">IFERROR(__xludf.DUMMYFUNCTION("""COMPUTED_VALUE"""),"US")</f>
        <v>US</v>
      </c>
      <c r="D44" s="24">
        <f ca="1">IFERROR(__xludf.DUMMYFUNCTION("""COMPUTED_VALUE"""),239.291518296233)</f>
        <v>239.29151829623299</v>
      </c>
    </row>
    <row r="45" spans="1:10" ht="15.75" customHeight="1">
      <c r="A45" s="23" t="str">
        <f ca="1">IFERROR(__xludf.DUMMYFUNCTION("""COMPUTED_VALUE"""),"i13mn 256")</f>
        <v>i13mn 256</v>
      </c>
      <c r="B45" s="24" t="str">
        <f ca="1">IFERROR(__xludf.DUMMYFUNCTION("""COMPUTED_VALUE"""),"A+")</f>
        <v>A+</v>
      </c>
      <c r="C45" s="24" t="str">
        <f ca="1">IFERROR(__xludf.DUMMYFUNCTION("""COMPUTED_VALUE"""),"CN")</f>
        <v>CN</v>
      </c>
      <c r="D45" s="24">
        <f ca="1">IFERROR(__xludf.DUMMYFUNCTION("""COMPUTED_VALUE"""),271.701059362926)</f>
        <v>271.701059362926</v>
      </c>
    </row>
    <row r="46" spans="1:10" ht="15.75" customHeight="1">
      <c r="A46" s="23" t="str">
        <f ca="1">IFERROR(__xludf.DUMMYFUNCTION("""COMPUTED_VALUE"""),"i13mn 256")</f>
        <v>i13mn 256</v>
      </c>
      <c r="B46" s="24" t="str">
        <f ca="1">IFERROR(__xludf.DUMMYFUNCTION("""COMPUTED_VALUE"""),"A+")</f>
        <v>A+</v>
      </c>
      <c r="C46" s="24" t="str">
        <f ca="1">IFERROR(__xludf.DUMMYFUNCTION("""COMPUTED_VALUE"""),"Intl")</f>
        <v>Intl</v>
      </c>
      <c r="D46" s="24">
        <f ca="1">IFERROR(__xludf.DUMMYFUNCTION("""COMPUTED_VALUE"""),276.067370281008)</f>
        <v>276.06737028100798</v>
      </c>
    </row>
    <row r="47" spans="1:10" ht="15.75" customHeight="1">
      <c r="A47" s="23" t="str">
        <f ca="1">IFERROR(__xludf.DUMMYFUNCTION("""COMPUTED_VALUE"""),"i13mn 256")</f>
        <v>i13mn 256</v>
      </c>
      <c r="B47" s="24" t="str">
        <f ca="1">IFERROR(__xludf.DUMMYFUNCTION("""COMPUTED_VALUE"""),"A+")</f>
        <v>A+</v>
      </c>
      <c r="C47" s="24" t="str">
        <f ca="1">IFERROR(__xludf.DUMMYFUNCTION("""COMPUTED_VALUE"""),"US")</f>
        <v>US</v>
      </c>
      <c r="D47" s="24">
        <f ca="1">IFERROR(__xludf.DUMMYFUNCTION("""COMPUTED_VALUE"""),276.067370281008)</f>
        <v>276.06737028100798</v>
      </c>
    </row>
    <row r="48" spans="1:10" ht="15.75" customHeight="1">
      <c r="A48" s="23" t="str">
        <f ca="1">IFERROR(__xludf.DUMMYFUNCTION("""COMPUTED_VALUE"""),"i13p 128")</f>
        <v>i13p 128</v>
      </c>
      <c r="B48" s="24" t="str">
        <f ca="1">IFERROR(__xludf.DUMMYFUNCTION("""COMPUTED_VALUE"""),"A+")</f>
        <v>A+</v>
      </c>
      <c r="C48" s="24" t="str">
        <f ca="1">IFERROR(__xludf.DUMMYFUNCTION("""COMPUTED_VALUE"""),"CN")</f>
        <v>CN</v>
      </c>
      <c r="D48" s="24">
        <f ca="1">IFERROR(__xludf.DUMMYFUNCTION("""COMPUTED_VALUE"""),381.501491320902)</f>
        <v>381.50149132090201</v>
      </c>
    </row>
    <row r="49" spans="1:4" ht="15.75" customHeight="1">
      <c r="A49" s="23" t="str">
        <f ca="1">IFERROR(__xludf.DUMMYFUNCTION("""COMPUTED_VALUE"""),"i13p 128")</f>
        <v>i13p 128</v>
      </c>
      <c r="B49" s="24" t="str">
        <f ca="1">IFERROR(__xludf.DUMMYFUNCTION("""COMPUTED_VALUE"""),"A+")</f>
        <v>A+</v>
      </c>
      <c r="C49" s="24" t="str">
        <f ca="1">IFERROR(__xludf.DUMMYFUNCTION("""COMPUTED_VALUE"""),"Intl")</f>
        <v>Intl</v>
      </c>
      <c r="D49" s="24">
        <f ca="1">IFERROR(__xludf.DUMMYFUNCTION("""COMPUTED_VALUE"""),380.008392199196)</f>
        <v>380.00839219919601</v>
      </c>
    </row>
    <row r="50" spans="1:4" ht="16">
      <c r="A50" s="23" t="str">
        <f ca="1">IFERROR(__xludf.DUMMYFUNCTION("""COMPUTED_VALUE"""),"i13p 128")</f>
        <v>i13p 128</v>
      </c>
      <c r="B50" s="24" t="str">
        <f ca="1">IFERROR(__xludf.DUMMYFUNCTION("""COMPUTED_VALUE"""),"A+")</f>
        <v>A+</v>
      </c>
      <c r="C50" s="24" t="str">
        <f ca="1">IFERROR(__xludf.DUMMYFUNCTION("""COMPUTED_VALUE"""),"US")</f>
        <v>US</v>
      </c>
      <c r="D50" s="24">
        <f ca="1">IFERROR(__xludf.DUMMYFUNCTION("""COMPUTED_VALUE"""),380.008392199196)</f>
        <v>380.00839219919601</v>
      </c>
    </row>
    <row r="51" spans="1:4" ht="16">
      <c r="A51" s="23" t="str">
        <f ca="1">IFERROR(__xludf.DUMMYFUNCTION("""COMPUTED_VALUE"""),"i13p 256")</f>
        <v>i13p 256</v>
      </c>
      <c r="B51" s="24" t="str">
        <f ca="1">IFERROR(__xludf.DUMMYFUNCTION("""COMPUTED_VALUE"""),"A+")</f>
        <v>A+</v>
      </c>
      <c r="C51" s="24" t="str">
        <f ca="1">IFERROR(__xludf.DUMMYFUNCTION("""COMPUTED_VALUE"""),"CN")</f>
        <v>CN</v>
      </c>
      <c r="D51" s="24">
        <f ca="1">IFERROR(__xludf.DUMMYFUNCTION("""COMPUTED_VALUE"""),418.428640903702)</f>
        <v>418.42864090370199</v>
      </c>
    </row>
    <row r="52" spans="1:4" ht="16">
      <c r="A52" s="23" t="str">
        <f ca="1">IFERROR(__xludf.DUMMYFUNCTION("""COMPUTED_VALUE"""),"i13p 256")</f>
        <v>i13p 256</v>
      </c>
      <c r="B52" s="24" t="str">
        <f ca="1">IFERROR(__xludf.DUMMYFUNCTION("""COMPUTED_VALUE"""),"A+")</f>
        <v>A+</v>
      </c>
      <c r="C52" s="24" t="str">
        <f ca="1">IFERROR(__xludf.DUMMYFUNCTION("""COMPUTED_VALUE"""),"Intl")</f>
        <v>Intl</v>
      </c>
      <c r="D52" s="24">
        <f ca="1">IFERROR(__xludf.DUMMYFUNCTION("""COMPUTED_VALUE"""),411.043210987142)</f>
        <v>411.043210987142</v>
      </c>
    </row>
    <row r="53" spans="1:4" ht="16">
      <c r="A53" s="23" t="str">
        <f ca="1">IFERROR(__xludf.DUMMYFUNCTION("""COMPUTED_VALUE"""),"i13p 256")</f>
        <v>i13p 256</v>
      </c>
      <c r="B53" s="24" t="str">
        <f ca="1">IFERROR(__xludf.DUMMYFUNCTION("""COMPUTED_VALUE"""),"A+")</f>
        <v>A+</v>
      </c>
      <c r="C53" s="24" t="str">
        <f ca="1">IFERROR(__xludf.DUMMYFUNCTION("""COMPUTED_VALUE"""),"US")</f>
        <v>US</v>
      </c>
      <c r="D53" s="24">
        <f ca="1">IFERROR(__xludf.DUMMYFUNCTION("""COMPUTED_VALUE"""),411.043210987142)</f>
        <v>411.043210987142</v>
      </c>
    </row>
    <row r="54" spans="1:4" ht="16">
      <c r="A54" s="23" t="str">
        <f ca="1">IFERROR(__xludf.DUMMYFUNCTION("""COMPUTED_VALUE"""),"i13pm 128")</f>
        <v>i13pm 128</v>
      </c>
      <c r="B54" s="24" t="str">
        <f ca="1">IFERROR(__xludf.DUMMYFUNCTION("""COMPUTED_VALUE"""),"A+")</f>
        <v>A+</v>
      </c>
      <c r="C54" s="24" t="str">
        <f ca="1">IFERROR(__xludf.DUMMYFUNCTION("""COMPUTED_VALUE"""),"CN")</f>
        <v>CN</v>
      </c>
      <c r="D54" s="24">
        <f ca="1">IFERROR(__xludf.DUMMYFUNCTION("""COMPUTED_VALUE"""),434.969795808588)</f>
        <v>434.969795808588</v>
      </c>
    </row>
    <row r="55" spans="1:4" ht="16">
      <c r="A55" s="23" t="str">
        <f ca="1">IFERROR(__xludf.DUMMYFUNCTION("""COMPUTED_VALUE"""),"i13pm 128")</f>
        <v>i13pm 128</v>
      </c>
      <c r="B55" s="24" t="str">
        <f ca="1">IFERROR(__xludf.DUMMYFUNCTION("""COMPUTED_VALUE"""),"A+")</f>
        <v>A+</v>
      </c>
      <c r="C55" s="24" t="str">
        <f ca="1">IFERROR(__xludf.DUMMYFUNCTION("""COMPUTED_VALUE"""),"Intl")</f>
        <v>Intl</v>
      </c>
      <c r="D55" s="24">
        <f ca="1">IFERROR(__xludf.DUMMYFUNCTION("""COMPUTED_VALUE"""),431.317113696294)</f>
        <v>431.31711369629397</v>
      </c>
    </row>
    <row r="56" spans="1:4" ht="16">
      <c r="A56" s="23" t="str">
        <f ca="1">IFERROR(__xludf.DUMMYFUNCTION("""COMPUTED_VALUE"""),"i13pm 128")</f>
        <v>i13pm 128</v>
      </c>
      <c r="B56" s="24" t="str">
        <f ca="1">IFERROR(__xludf.DUMMYFUNCTION("""COMPUTED_VALUE"""),"A+")</f>
        <v>A+</v>
      </c>
      <c r="C56" s="24" t="str">
        <f ca="1">IFERROR(__xludf.DUMMYFUNCTION("""COMPUTED_VALUE"""),"US")</f>
        <v>US</v>
      </c>
      <c r="D56" s="24">
        <f ca="1">IFERROR(__xludf.DUMMYFUNCTION("""COMPUTED_VALUE"""),431.317113696294)</f>
        <v>431.31711369629397</v>
      </c>
    </row>
    <row r="57" spans="1:4" ht="16">
      <c r="A57" s="23" t="str">
        <f ca="1">IFERROR(__xludf.DUMMYFUNCTION("""COMPUTED_VALUE"""),"i13pm 256")</f>
        <v>i13pm 256</v>
      </c>
      <c r="B57" s="24" t="str">
        <f ca="1">IFERROR(__xludf.DUMMYFUNCTION("""COMPUTED_VALUE"""),"A+")</f>
        <v>A+</v>
      </c>
      <c r="C57" s="24" t="str">
        <f ca="1">IFERROR(__xludf.DUMMYFUNCTION("""COMPUTED_VALUE"""),"CN")</f>
        <v>CN</v>
      </c>
      <c r="D57" s="24">
        <f ca="1">IFERROR(__xludf.DUMMYFUNCTION("""COMPUTED_VALUE"""),497.705917253361)</f>
        <v>497.70591725336101</v>
      </c>
    </row>
    <row r="58" spans="1:4" ht="16">
      <c r="A58" s="23" t="str">
        <f ca="1">IFERROR(__xludf.DUMMYFUNCTION("""COMPUTED_VALUE"""),"i13pm 256")</f>
        <v>i13pm 256</v>
      </c>
      <c r="B58" s="24" t="str">
        <f ca="1">IFERROR(__xludf.DUMMYFUNCTION("""COMPUTED_VALUE"""),"A+")</f>
        <v>A+</v>
      </c>
      <c r="C58" s="24" t="str">
        <f ca="1">IFERROR(__xludf.DUMMYFUNCTION("""COMPUTED_VALUE"""),"Intl")</f>
        <v>Intl</v>
      </c>
      <c r="D58" s="24">
        <f ca="1">IFERROR(__xludf.DUMMYFUNCTION("""COMPUTED_VALUE"""),475.629693195653)</f>
        <v>475.62969319565298</v>
      </c>
    </row>
    <row r="59" spans="1:4" ht="16">
      <c r="A59" s="23" t="str">
        <f ca="1">IFERROR(__xludf.DUMMYFUNCTION("""COMPUTED_VALUE"""),"i13pm 256")</f>
        <v>i13pm 256</v>
      </c>
      <c r="B59" s="24" t="str">
        <f ca="1">IFERROR(__xludf.DUMMYFUNCTION("""COMPUTED_VALUE"""),"A+")</f>
        <v>A+</v>
      </c>
      <c r="C59" s="24" t="str">
        <f ca="1">IFERROR(__xludf.DUMMYFUNCTION("""COMPUTED_VALUE"""),"US")</f>
        <v>US</v>
      </c>
      <c r="D59" s="24">
        <f ca="1">IFERROR(__xludf.DUMMYFUNCTION("""COMPUTED_VALUE"""),475.629693195653)</f>
        <v>475.62969319565298</v>
      </c>
    </row>
    <row r="60" spans="1:4" ht="16">
      <c r="A60" s="23" t="str">
        <f ca="1">IFERROR(__xludf.DUMMYFUNCTION("""COMPUTED_VALUE"""),"i14 128")</f>
        <v>i14 128</v>
      </c>
      <c r="B60" s="24" t="str">
        <f ca="1">IFERROR(__xludf.DUMMYFUNCTION("""COMPUTED_VALUE"""),"A+")</f>
        <v>A+</v>
      </c>
      <c r="C60" s="24" t="str">
        <f ca="1">IFERROR(__xludf.DUMMYFUNCTION("""COMPUTED_VALUE"""),"CN")</f>
        <v>CN</v>
      </c>
      <c r="D60" s="24">
        <f ca="1">IFERROR(__xludf.DUMMYFUNCTION("""COMPUTED_VALUE"""),325.396243662639)</f>
        <v>325.39624366263899</v>
      </c>
    </row>
    <row r="61" spans="1:4" ht="16">
      <c r="A61" s="23" t="str">
        <f ca="1">IFERROR(__xludf.DUMMYFUNCTION("""COMPUTED_VALUE"""),"i14 128")</f>
        <v>i14 128</v>
      </c>
      <c r="B61" s="24" t="str">
        <f ca="1">IFERROR(__xludf.DUMMYFUNCTION("""COMPUTED_VALUE"""),"A+")</f>
        <v>A+</v>
      </c>
      <c r="C61" s="24" t="str">
        <f ca="1">IFERROR(__xludf.DUMMYFUNCTION("""COMPUTED_VALUE"""),"Intl")</f>
        <v>Intl</v>
      </c>
      <c r="D61" s="24">
        <f ca="1">IFERROR(__xludf.DUMMYFUNCTION("""COMPUTED_VALUE"""),324.601654686602)</f>
        <v>324.60165468660199</v>
      </c>
    </row>
    <row r="62" spans="1:4" ht="16">
      <c r="A62" s="23" t="str">
        <f ca="1">IFERROR(__xludf.DUMMYFUNCTION("""COMPUTED_VALUE"""),"i14 128")</f>
        <v>i14 128</v>
      </c>
      <c r="B62" s="24" t="str">
        <f ca="1">IFERROR(__xludf.DUMMYFUNCTION("""COMPUTED_VALUE"""),"A+")</f>
        <v>A+</v>
      </c>
      <c r="C62" s="24" t="str">
        <f ca="1">IFERROR(__xludf.DUMMYFUNCTION("""COMPUTED_VALUE"""),"US")</f>
        <v>US</v>
      </c>
      <c r="D62" s="24">
        <f ca="1">IFERROR(__xludf.DUMMYFUNCTION("""COMPUTED_VALUE"""),312.062436966845)</f>
        <v>312.06243696684498</v>
      </c>
    </row>
    <row r="63" spans="1:4" ht="16">
      <c r="A63" s="23" t="str">
        <f ca="1">IFERROR(__xludf.DUMMYFUNCTION("""COMPUTED_VALUE"""),"i14 256")</f>
        <v>i14 256</v>
      </c>
      <c r="B63" s="24" t="str">
        <f ca="1">IFERROR(__xludf.DUMMYFUNCTION("""COMPUTED_VALUE"""),"A+")</f>
        <v>A+</v>
      </c>
      <c r="C63" s="24" t="str">
        <f ca="1">IFERROR(__xludf.DUMMYFUNCTION("""COMPUTED_VALUE"""),"CN")</f>
        <v>CN</v>
      </c>
      <c r="D63" s="24">
        <f ca="1">IFERROR(__xludf.DUMMYFUNCTION("""COMPUTED_VALUE"""),360.942386092492)</f>
        <v>360.94238609249197</v>
      </c>
    </row>
    <row r="64" spans="1:4" ht="16">
      <c r="A64" s="23" t="str">
        <f ca="1">IFERROR(__xludf.DUMMYFUNCTION("""COMPUTED_VALUE"""),"i14 256")</f>
        <v>i14 256</v>
      </c>
      <c r="B64" s="24" t="str">
        <f ca="1">IFERROR(__xludf.DUMMYFUNCTION("""COMPUTED_VALUE"""),"A+")</f>
        <v>A+</v>
      </c>
      <c r="C64" s="24" t="str">
        <f ca="1">IFERROR(__xludf.DUMMYFUNCTION("""COMPUTED_VALUE"""),"Intl")</f>
        <v>Intl</v>
      </c>
      <c r="D64" s="24">
        <f ca="1">IFERROR(__xludf.DUMMYFUNCTION("""COMPUTED_VALUE"""),360.86232040052)</f>
        <v>360.86232040051999</v>
      </c>
    </row>
    <row r="65" spans="1:4" ht="16">
      <c r="A65" s="23" t="str">
        <f ca="1">IFERROR(__xludf.DUMMYFUNCTION("""COMPUTED_VALUE"""),"i14 256")</f>
        <v>i14 256</v>
      </c>
      <c r="B65" s="24" t="str">
        <f ca="1">IFERROR(__xludf.DUMMYFUNCTION("""COMPUTED_VALUE"""),"A+")</f>
        <v>A+</v>
      </c>
      <c r="C65" s="24" t="str">
        <f ca="1">IFERROR(__xludf.DUMMYFUNCTION("""COMPUTED_VALUE"""),"US")</f>
        <v>US</v>
      </c>
      <c r="D65" s="24">
        <f ca="1">IFERROR(__xludf.DUMMYFUNCTION("""COMPUTED_VALUE"""),348.323102680763)</f>
        <v>348.32310268076299</v>
      </c>
    </row>
    <row r="66" spans="1:4" ht="16">
      <c r="A66" s="23" t="str">
        <f ca="1">IFERROR(__xludf.DUMMYFUNCTION("""COMPUTED_VALUE"""),"i14+ 128")</f>
        <v>i14+ 128</v>
      </c>
      <c r="B66" s="24" t="str">
        <f ca="1">IFERROR(__xludf.DUMMYFUNCTION("""COMPUTED_VALUE"""),"A+")</f>
        <v>A+</v>
      </c>
      <c r="C66" s="24" t="str">
        <f ca="1">IFERROR(__xludf.DUMMYFUNCTION("""COMPUTED_VALUE"""),"CN")</f>
        <v>CN</v>
      </c>
      <c r="D66" s="24">
        <f ca="1">IFERROR(__xludf.DUMMYFUNCTION("""COMPUTED_VALUE"""),347.568546550712)</f>
        <v>347.56854655071197</v>
      </c>
    </row>
    <row r="67" spans="1:4" ht="16">
      <c r="A67" s="23" t="str">
        <f ca="1">IFERROR(__xludf.DUMMYFUNCTION("""COMPUTED_VALUE"""),"i14+ 128")</f>
        <v>i14+ 128</v>
      </c>
      <c r="B67" s="24" t="str">
        <f ca="1">IFERROR(__xludf.DUMMYFUNCTION("""COMPUTED_VALUE"""),"A+")</f>
        <v>A+</v>
      </c>
      <c r="C67" s="24" t="str">
        <f ca="1">IFERROR(__xludf.DUMMYFUNCTION("""COMPUTED_VALUE"""),"Intl")</f>
        <v>Intl</v>
      </c>
      <c r="D67" s="24">
        <f ca="1">IFERROR(__xludf.DUMMYFUNCTION("""COMPUTED_VALUE"""),352.762367199896)</f>
        <v>352.762367199896</v>
      </c>
    </row>
    <row r="68" spans="1:4" ht="16">
      <c r="A68" s="23" t="str">
        <f ca="1">IFERROR(__xludf.DUMMYFUNCTION("""COMPUTED_VALUE"""),"i14+ 128")</f>
        <v>i14+ 128</v>
      </c>
      <c r="B68" s="24" t="str">
        <f ca="1">IFERROR(__xludf.DUMMYFUNCTION("""COMPUTED_VALUE"""),"A+")</f>
        <v>A+</v>
      </c>
      <c r="C68" s="24" t="str">
        <f ca="1">IFERROR(__xludf.DUMMYFUNCTION("""COMPUTED_VALUE"""),"US")</f>
        <v>US</v>
      </c>
      <c r="D68" s="24">
        <f ca="1">IFERROR(__xludf.DUMMYFUNCTION("""COMPUTED_VALUE"""),329.024906067341)</f>
        <v>329.02490606734102</v>
      </c>
    </row>
    <row r="69" spans="1:4" ht="16">
      <c r="A69" s="23" t="str">
        <f ca="1">IFERROR(__xludf.DUMMYFUNCTION("""COMPUTED_VALUE"""),"i14+ 256")</f>
        <v>i14+ 256</v>
      </c>
      <c r="B69" s="24" t="str">
        <f ca="1">IFERROR(__xludf.DUMMYFUNCTION("""COMPUTED_VALUE"""),"A+")</f>
        <v>A+</v>
      </c>
      <c r="C69" s="24" t="str">
        <f ca="1">IFERROR(__xludf.DUMMYFUNCTION("""COMPUTED_VALUE"""),"CN")</f>
        <v>CN</v>
      </c>
      <c r="D69" s="24">
        <f ca="1">IFERROR(__xludf.DUMMYFUNCTION("""COMPUTED_VALUE"""),388.148378245806)</f>
        <v>388.14837824580599</v>
      </c>
    </row>
    <row r="70" spans="1:4" ht="16">
      <c r="A70" s="23" t="str">
        <f ca="1">IFERROR(__xludf.DUMMYFUNCTION("""COMPUTED_VALUE"""),"i14+ 256")</f>
        <v>i14+ 256</v>
      </c>
      <c r="B70" s="24" t="str">
        <f ca="1">IFERROR(__xludf.DUMMYFUNCTION("""COMPUTED_VALUE"""),"A+")</f>
        <v>A+</v>
      </c>
      <c r="C70" s="24" t="str">
        <f ca="1">IFERROR(__xludf.DUMMYFUNCTION("""COMPUTED_VALUE"""),"Intl")</f>
        <v>Intl</v>
      </c>
      <c r="D70" s="24">
        <f ca="1">IFERROR(__xludf.DUMMYFUNCTION("""COMPUTED_VALUE"""),391.881126050072)</f>
        <v>391.881126050072</v>
      </c>
    </row>
    <row r="71" spans="1:4" ht="16">
      <c r="A71" s="23" t="str">
        <f ca="1">IFERROR(__xludf.DUMMYFUNCTION("""COMPUTED_VALUE"""),"i14+ 256")</f>
        <v>i14+ 256</v>
      </c>
      <c r="B71" s="24" t="str">
        <f ca="1">IFERROR(__xludf.DUMMYFUNCTION("""COMPUTED_VALUE"""),"A+")</f>
        <v>A+</v>
      </c>
      <c r="C71" s="24" t="str">
        <f ca="1">IFERROR(__xludf.DUMMYFUNCTION("""COMPUTED_VALUE"""),"US")</f>
        <v>US</v>
      </c>
      <c r="D71" s="24">
        <f ca="1">IFERROR(__xludf.DUMMYFUNCTION("""COMPUTED_VALUE"""),362.299373537846)</f>
        <v>362.29937353784601</v>
      </c>
    </row>
    <row r="72" spans="1:4" ht="16">
      <c r="A72" s="23" t="str">
        <f ca="1">IFERROR(__xludf.DUMMYFUNCTION("""COMPUTED_VALUE"""),"i14p 128")</f>
        <v>i14p 128</v>
      </c>
      <c r="B72" s="24" t="str">
        <f ca="1">IFERROR(__xludf.DUMMYFUNCTION("""COMPUTED_VALUE"""),"A+")</f>
        <v>A+</v>
      </c>
      <c r="C72" s="24" t="str">
        <f ca="1">IFERROR(__xludf.DUMMYFUNCTION("""COMPUTED_VALUE"""),"CN")</f>
        <v>CN</v>
      </c>
      <c r="D72" s="24">
        <f ca="1">IFERROR(__xludf.DUMMYFUNCTION("""COMPUTED_VALUE"""),503.091895563278)</f>
        <v>503.091895563278</v>
      </c>
    </row>
    <row r="73" spans="1:4" ht="16">
      <c r="A73" s="23" t="str">
        <f ca="1">IFERROR(__xludf.DUMMYFUNCTION("""COMPUTED_VALUE"""),"i14p 128")</f>
        <v>i14p 128</v>
      </c>
      <c r="B73" s="24" t="str">
        <f ca="1">IFERROR(__xludf.DUMMYFUNCTION("""COMPUTED_VALUE"""),"A+")</f>
        <v>A+</v>
      </c>
      <c r="C73" s="24" t="str">
        <f ca="1">IFERROR(__xludf.DUMMYFUNCTION("""COMPUTED_VALUE"""),"Intl")</f>
        <v>Intl</v>
      </c>
      <c r="D73" s="24">
        <f ca="1">IFERROR(__xludf.DUMMYFUNCTION("""COMPUTED_VALUE"""),503.011829871305)</f>
        <v>503.011829871305</v>
      </c>
    </row>
    <row r="74" spans="1:4" ht="16">
      <c r="A74" s="23" t="str">
        <f ca="1">IFERROR(__xludf.DUMMYFUNCTION("""COMPUTED_VALUE"""),"i14p 128")</f>
        <v>i14p 128</v>
      </c>
      <c r="B74" s="24" t="str">
        <f ca="1">IFERROR(__xludf.DUMMYFUNCTION("""COMPUTED_VALUE"""),"A+")</f>
        <v>A+</v>
      </c>
      <c r="C74" s="24" t="str">
        <f ca="1">IFERROR(__xludf.DUMMYFUNCTION("""COMPUTED_VALUE"""),"US")</f>
        <v>US</v>
      </c>
      <c r="D74" s="24">
        <f ca="1">IFERROR(__xludf.DUMMYFUNCTION("""COMPUTED_VALUE"""),480.815507275639)</f>
        <v>480.81550727563899</v>
      </c>
    </row>
    <row r="75" spans="1:4" ht="16">
      <c r="A75" s="23" t="str">
        <f ca="1">IFERROR(__xludf.DUMMYFUNCTION("""COMPUTED_VALUE"""),"i14p 256")</f>
        <v>i14p 256</v>
      </c>
      <c r="B75" s="24" t="str">
        <f ca="1">IFERROR(__xludf.DUMMYFUNCTION("""COMPUTED_VALUE"""),"A+")</f>
        <v>A+</v>
      </c>
      <c r="C75" s="24" t="str">
        <f ca="1">IFERROR(__xludf.DUMMYFUNCTION("""COMPUTED_VALUE"""),"CN")</f>
        <v>CN</v>
      </c>
      <c r="D75" s="24">
        <f ca="1">IFERROR(__xludf.DUMMYFUNCTION("""COMPUTED_VALUE"""),562.095269203784)</f>
        <v>562.09526920378403</v>
      </c>
    </row>
    <row r="76" spans="1:4" ht="16">
      <c r="A76" s="23" t="str">
        <f ca="1">IFERROR(__xludf.DUMMYFUNCTION("""COMPUTED_VALUE"""),"i14p 256")</f>
        <v>i14p 256</v>
      </c>
      <c r="B76" s="24" t="str">
        <f ca="1">IFERROR(__xludf.DUMMYFUNCTION("""COMPUTED_VALUE"""),"A+")</f>
        <v>A+</v>
      </c>
      <c r="C76" s="24" t="str">
        <f ca="1">IFERROR(__xludf.DUMMYFUNCTION("""COMPUTED_VALUE"""),"Intl")</f>
        <v>Intl</v>
      </c>
      <c r="D76" s="24">
        <f ca="1">IFERROR(__xludf.DUMMYFUNCTION("""COMPUTED_VALUE"""),554.709839287225)</f>
        <v>554.70983928722501</v>
      </c>
    </row>
    <row r="77" spans="1:4" ht="16">
      <c r="A77" s="23" t="str">
        <f ca="1">IFERROR(__xludf.DUMMYFUNCTION("""COMPUTED_VALUE"""),"i14p 256")</f>
        <v>i14p 256</v>
      </c>
      <c r="B77" s="24" t="str">
        <f ca="1">IFERROR(__xludf.DUMMYFUNCTION("""COMPUTED_VALUE"""),"A+")</f>
        <v>A+</v>
      </c>
      <c r="C77" s="24" t="str">
        <f ca="1">IFERROR(__xludf.DUMMYFUNCTION("""COMPUTED_VALUE"""),"US")</f>
        <v>US</v>
      </c>
      <c r="D77" s="24">
        <f ca="1">IFERROR(__xludf.DUMMYFUNCTION("""COMPUTED_VALUE"""),514.009909054173)</f>
        <v>514.00990905417302</v>
      </c>
    </row>
    <row r="78" spans="1:4" ht="16">
      <c r="A78" s="23" t="str">
        <f ca="1">IFERROR(__xludf.DUMMYFUNCTION("""COMPUTED_VALUE"""),"i14pm 128")</f>
        <v>i14pm 128</v>
      </c>
      <c r="B78" s="24" t="str">
        <f ca="1">IFERROR(__xludf.DUMMYFUNCTION("""COMPUTED_VALUE"""),"A+")</f>
        <v>A+</v>
      </c>
      <c r="C78" s="24" t="str">
        <f ca="1">IFERROR(__xludf.DUMMYFUNCTION("""COMPUTED_VALUE"""),"CN")</f>
        <v>CN</v>
      </c>
      <c r="D78" s="24">
        <f ca="1">IFERROR(__xludf.DUMMYFUNCTION("""COMPUTED_VALUE"""),569.480699120344)</f>
        <v>569.48069912034396</v>
      </c>
    </row>
    <row r="79" spans="1:4" ht="16">
      <c r="A79" s="23" t="str">
        <f ca="1">IFERROR(__xludf.DUMMYFUNCTION("""COMPUTED_VALUE"""),"i14pm 128")</f>
        <v>i14pm 128</v>
      </c>
      <c r="B79" s="24" t="str">
        <f ca="1">IFERROR(__xludf.DUMMYFUNCTION("""COMPUTED_VALUE"""),"A+")</f>
        <v>A+</v>
      </c>
      <c r="C79" s="24" t="str">
        <f ca="1">IFERROR(__xludf.DUMMYFUNCTION("""COMPUTED_VALUE"""),"Intl")</f>
        <v>Intl</v>
      </c>
      <c r="D79" s="24">
        <f ca="1">IFERROR(__xludf.DUMMYFUNCTION("""COMPUTED_VALUE"""),595.449802366262)</f>
        <v>595.44980236626202</v>
      </c>
    </row>
    <row r="80" spans="1:4" ht="16">
      <c r="A80" s="23" t="str">
        <f ca="1">IFERROR(__xludf.DUMMYFUNCTION("""COMPUTED_VALUE"""),"i14pm 128")</f>
        <v>i14pm 128</v>
      </c>
      <c r="B80" s="24" t="str">
        <f ca="1">IFERROR(__xludf.DUMMYFUNCTION("""COMPUTED_VALUE"""),"A+")</f>
        <v>A+</v>
      </c>
      <c r="C80" s="24" t="str">
        <f ca="1">IFERROR(__xludf.DUMMYFUNCTION("""COMPUTED_VALUE"""),"US")</f>
        <v>US</v>
      </c>
      <c r="D80" s="24">
        <f ca="1">IFERROR(__xludf.DUMMYFUNCTION("""COMPUTED_VALUE"""),564.214819348386)</f>
        <v>564.21481934838596</v>
      </c>
    </row>
    <row r="81" spans="1:4" ht="16">
      <c r="A81" s="23" t="str">
        <f ca="1">IFERROR(__xludf.DUMMYFUNCTION("""COMPUTED_VALUE"""),"i14pm 256")</f>
        <v>i14pm 256</v>
      </c>
      <c r="B81" s="24" t="str">
        <f ca="1">IFERROR(__xludf.DUMMYFUNCTION("""COMPUTED_VALUE"""),"A+")</f>
        <v>A+</v>
      </c>
      <c r="C81" s="24" t="str">
        <f ca="1">IFERROR(__xludf.DUMMYFUNCTION("""COMPUTED_VALUE"""),"CN")</f>
        <v>CN</v>
      </c>
      <c r="D81" s="24">
        <f ca="1">IFERROR(__xludf.DUMMYFUNCTION("""COMPUTED_VALUE"""),635.949568369383)</f>
        <v>635.94956836938297</v>
      </c>
    </row>
    <row r="82" spans="1:4" ht="16">
      <c r="A82" s="23" t="str">
        <f ca="1">IFERROR(__xludf.DUMMYFUNCTION("""COMPUTED_VALUE"""),"i14pm 256")</f>
        <v>i14pm 256</v>
      </c>
      <c r="B82" s="24" t="str">
        <f ca="1">IFERROR(__xludf.DUMMYFUNCTION("""COMPUTED_VALUE"""),"A+")</f>
        <v>A+</v>
      </c>
      <c r="C82" s="24" t="str">
        <f ca="1">IFERROR(__xludf.DUMMYFUNCTION("""COMPUTED_VALUE"""),"Intl")</f>
        <v>Intl</v>
      </c>
      <c r="D82" s="24">
        <f ca="1">IFERROR(__xludf.DUMMYFUNCTION("""COMPUTED_VALUE"""),650.720428202503)</f>
        <v>650.72042820250294</v>
      </c>
    </row>
    <row r="83" spans="1:4" ht="16">
      <c r="A83" s="23" t="str">
        <f ca="1">IFERROR(__xludf.DUMMYFUNCTION("""COMPUTED_VALUE"""),"i14pm 256")</f>
        <v>i14pm 256</v>
      </c>
      <c r="B83" s="24" t="str">
        <f ca="1">IFERROR(__xludf.DUMMYFUNCTION("""COMPUTED_VALUE"""),"A+")</f>
        <v>A+</v>
      </c>
      <c r="C83" s="24" t="str">
        <f ca="1">IFERROR(__xludf.DUMMYFUNCTION("""COMPUTED_VALUE"""),"US")</f>
        <v>US</v>
      </c>
      <c r="D83" s="24">
        <f ca="1">IFERROR(__xludf.DUMMYFUNCTION("""COMPUTED_VALUE"""),602.555002360919)</f>
        <v>602.55500236091905</v>
      </c>
    </row>
    <row r="84" spans="1:4" ht="16">
      <c r="A84" s="23" t="str">
        <f ca="1">IFERROR(__xludf.DUMMYFUNCTION("""COMPUTED_VALUE"""),"i15 128")</f>
        <v>i15 128</v>
      </c>
      <c r="B84" s="24" t="str">
        <f ca="1">IFERROR(__xludf.DUMMYFUNCTION("""COMPUTED_VALUE"""),"A+")</f>
        <v>A+</v>
      </c>
      <c r="C84" s="24" t="str">
        <f ca="1">IFERROR(__xludf.DUMMYFUNCTION("""COMPUTED_VALUE"""),"CN")</f>
        <v>CN</v>
      </c>
      <c r="D84" s="24">
        <f ca="1">IFERROR(__xludf.DUMMYFUNCTION("""COMPUTED_VALUE"""),458.779316063918)</f>
        <v>458.77931606391797</v>
      </c>
    </row>
    <row r="85" spans="1:4" ht="16">
      <c r="A85" s="23" t="str">
        <f ca="1">IFERROR(__xludf.DUMMYFUNCTION("""COMPUTED_VALUE"""),"i15 128")</f>
        <v>i15 128</v>
      </c>
      <c r="B85" s="24" t="str">
        <f ca="1">IFERROR(__xludf.DUMMYFUNCTION("""COMPUTED_VALUE"""),"A+")</f>
        <v>A+</v>
      </c>
      <c r="C85" s="24" t="str">
        <f ca="1">IFERROR(__xludf.DUMMYFUNCTION("""COMPUTED_VALUE"""),"Intl")</f>
        <v>Intl</v>
      </c>
      <c r="D85" s="24">
        <f ca="1">IFERROR(__xludf.DUMMYFUNCTION("""COMPUTED_VALUE"""),474.963209326772)</f>
        <v>474.96320932677202</v>
      </c>
    </row>
    <row r="86" spans="1:4" ht="16">
      <c r="A86" s="23" t="str">
        <f ca="1">IFERROR(__xludf.DUMMYFUNCTION("""COMPUTED_VALUE"""),"i15 128")</f>
        <v>i15 128</v>
      </c>
      <c r="B86" s="24" t="str">
        <f ca="1">IFERROR(__xludf.DUMMYFUNCTION("""COMPUTED_VALUE"""),"A+")</f>
        <v>A+</v>
      </c>
      <c r="C86" s="24" t="str">
        <f ca="1">IFERROR(__xludf.DUMMYFUNCTION("""COMPUTED_VALUE"""),"US")</f>
        <v>US</v>
      </c>
      <c r="D86" s="24">
        <f ca="1">IFERROR(__xludf.DUMMYFUNCTION("""COMPUTED_VALUE"""),462.367945622634)</f>
        <v>462.36794562263401</v>
      </c>
    </row>
    <row r="87" spans="1:4" ht="16">
      <c r="A87" s="23" t="str">
        <f ca="1">IFERROR(__xludf.DUMMYFUNCTION("""COMPUTED_VALUE"""),"i15 256")</f>
        <v>i15 256</v>
      </c>
      <c r="B87" s="24" t="str">
        <f ca="1">IFERROR(__xludf.DUMMYFUNCTION("""COMPUTED_VALUE"""),"A+")</f>
        <v>A+</v>
      </c>
      <c r="C87" s="24" t="str">
        <f ca="1">IFERROR(__xludf.DUMMYFUNCTION("""COMPUTED_VALUE"""),"CN")</f>
        <v>CN</v>
      </c>
      <c r="D87" s="24">
        <f ca="1">IFERROR(__xludf.DUMMYFUNCTION("""COMPUTED_VALUE"""),519.355854518104)</f>
        <v>519.35585451810402</v>
      </c>
    </row>
    <row r="88" spans="1:4" ht="16">
      <c r="A88" s="23" t="str">
        <f ca="1">IFERROR(__xludf.DUMMYFUNCTION("""COMPUTED_VALUE"""),"i15 256")</f>
        <v>i15 256</v>
      </c>
      <c r="B88" s="24" t="str">
        <f ca="1">IFERROR(__xludf.DUMMYFUNCTION("""COMPUTED_VALUE"""),"A+")</f>
        <v>A+</v>
      </c>
      <c r="C88" s="24" t="str">
        <f ca="1">IFERROR(__xludf.DUMMYFUNCTION("""COMPUTED_VALUE"""),"Intl")</f>
        <v>Intl</v>
      </c>
      <c r="D88" s="24">
        <f ca="1">IFERROR(__xludf.DUMMYFUNCTION("""COMPUTED_VALUE"""),541.592209959755)</f>
        <v>541.592209959755</v>
      </c>
    </row>
    <row r="89" spans="1:4" ht="16">
      <c r="A89" s="23" t="str">
        <f ca="1">IFERROR(__xludf.DUMMYFUNCTION("""COMPUTED_VALUE"""),"i15 256")</f>
        <v>i15 256</v>
      </c>
      <c r="B89" s="24" t="str">
        <f ca="1">IFERROR(__xludf.DUMMYFUNCTION("""COMPUTED_VALUE"""),"A+")</f>
        <v>A+</v>
      </c>
      <c r="C89" s="24" t="str">
        <f ca="1">IFERROR(__xludf.DUMMYFUNCTION("""COMPUTED_VALUE"""),"US")</f>
        <v>US</v>
      </c>
      <c r="D89" s="24">
        <f ca="1">IFERROR(__xludf.DUMMYFUNCTION("""COMPUTED_VALUE"""),506.840656505937)</f>
        <v>506.84065650593698</v>
      </c>
    </row>
    <row r="90" spans="1:4" ht="16">
      <c r="A90" s="23" t="str">
        <f ca="1">IFERROR(__xludf.DUMMYFUNCTION("""COMPUTED_VALUE"""),"i15+ 128")</f>
        <v>i15+ 128</v>
      </c>
      <c r="B90" s="24" t="str">
        <f ca="1">IFERROR(__xludf.DUMMYFUNCTION("""COMPUTED_VALUE"""),"A+")</f>
        <v>A+</v>
      </c>
      <c r="C90" s="24" t="str">
        <f ca="1">IFERROR(__xludf.DUMMYFUNCTION("""COMPUTED_VALUE"""),"CN")</f>
        <v>CN</v>
      </c>
      <c r="D90" s="24">
        <f ca="1">IFERROR(__xludf.DUMMYFUNCTION("""COMPUTED_VALUE"""),516.273577444324)</f>
        <v>516.27357744432402</v>
      </c>
    </row>
    <row r="91" spans="1:4" ht="16">
      <c r="A91" s="23" t="str">
        <f ca="1">IFERROR(__xludf.DUMMYFUNCTION("""COMPUTED_VALUE"""),"i15+ 128")</f>
        <v>i15+ 128</v>
      </c>
      <c r="B91" s="24" t="str">
        <f ca="1">IFERROR(__xludf.DUMMYFUNCTION("""COMPUTED_VALUE"""),"A+")</f>
        <v>A+</v>
      </c>
      <c r="C91" s="24" t="str">
        <f ca="1">IFERROR(__xludf.DUMMYFUNCTION("""COMPUTED_VALUE"""),"Intl")</f>
        <v>Intl</v>
      </c>
      <c r="D91" s="24">
        <f ca="1">IFERROR(__xludf.DUMMYFUNCTION("""COMPUTED_VALUE"""),516.273577444324)</f>
        <v>516.27357744432402</v>
      </c>
    </row>
    <row r="92" spans="1:4" ht="16">
      <c r="A92" s="23" t="str">
        <f ca="1">IFERROR(__xludf.DUMMYFUNCTION("""COMPUTED_VALUE"""),"i15+ 128")</f>
        <v>i15+ 128</v>
      </c>
      <c r="B92" s="24" t="str">
        <f ca="1">IFERROR(__xludf.DUMMYFUNCTION("""COMPUTED_VALUE"""),"A+")</f>
        <v>A+</v>
      </c>
      <c r="C92" s="24" t="str">
        <f ca="1">IFERROR(__xludf.DUMMYFUNCTION("""COMPUTED_VALUE"""),"US")</f>
        <v>US</v>
      </c>
      <c r="D92" s="24">
        <f ca="1">IFERROR(__xludf.DUMMYFUNCTION("""COMPUTED_VALUE"""),485.094640410828)</f>
        <v>485.09464041082799</v>
      </c>
    </row>
    <row r="93" spans="1:4" ht="16">
      <c r="A93" s="23" t="str">
        <f ca="1">IFERROR(__xludf.DUMMYFUNCTION("""COMPUTED_VALUE"""),"i15+ 256")</f>
        <v>i15+ 256</v>
      </c>
      <c r="B93" s="24" t="str">
        <f ca="1">IFERROR(__xludf.DUMMYFUNCTION("""COMPUTED_VALUE"""),"A+")</f>
        <v>A+</v>
      </c>
      <c r="C93" s="24" t="str">
        <f ca="1">IFERROR(__xludf.DUMMYFUNCTION("""COMPUTED_VALUE"""),"CN")</f>
        <v>CN</v>
      </c>
      <c r="D93" s="24">
        <f ca="1">IFERROR(__xludf.DUMMYFUNCTION("""COMPUTED_VALUE"""),560.586156943683)</f>
        <v>560.58615694368302</v>
      </c>
    </row>
    <row r="94" spans="1:4" ht="16">
      <c r="A94" s="23" t="str">
        <f ca="1">IFERROR(__xludf.DUMMYFUNCTION("""COMPUTED_VALUE"""),"i15+ 256")</f>
        <v>i15+ 256</v>
      </c>
      <c r="B94" s="24" t="str">
        <f ca="1">IFERROR(__xludf.DUMMYFUNCTION("""COMPUTED_VALUE"""),"A+")</f>
        <v>A+</v>
      </c>
      <c r="C94" s="24" t="str">
        <f ca="1">IFERROR(__xludf.DUMMYFUNCTION("""COMPUTED_VALUE"""),"Intl")</f>
        <v>Intl</v>
      </c>
      <c r="D94" s="24">
        <f ca="1">IFERROR(__xludf.DUMMYFUNCTION("""COMPUTED_VALUE"""),575.357016776803)</f>
        <v>575.35701677680299</v>
      </c>
    </row>
    <row r="95" spans="1:4" ht="16">
      <c r="A95" s="23" t="str">
        <f ca="1">IFERROR(__xludf.DUMMYFUNCTION("""COMPUTED_VALUE"""),"i15+ 256")</f>
        <v>i15+ 256</v>
      </c>
      <c r="B95" s="24" t="str">
        <f ca="1">IFERROR(__xludf.DUMMYFUNCTION("""COMPUTED_VALUE"""),"A+")</f>
        <v>A+</v>
      </c>
      <c r="C95" s="24" t="str">
        <f ca="1">IFERROR(__xludf.DUMMYFUNCTION("""COMPUTED_VALUE"""),"US")</f>
        <v>US</v>
      </c>
      <c r="D95" s="24">
        <f ca="1">IFERROR(__xludf.DUMMYFUNCTION("""COMPUTED_VALUE"""),540.445331939042)</f>
        <v>540.44533193904203</v>
      </c>
    </row>
    <row r="96" spans="1:4" ht="16">
      <c r="A96" s="23" t="str">
        <f ca="1">IFERROR(__xludf.DUMMYFUNCTION("""COMPUTED_VALUE"""),"i15p 128")</f>
        <v>i15p 128</v>
      </c>
      <c r="B96" s="24" t="str">
        <f ca="1">IFERROR(__xludf.DUMMYFUNCTION("""COMPUTED_VALUE"""),"A+")</f>
        <v>A+</v>
      </c>
      <c r="C96" s="24" t="str">
        <f ca="1">IFERROR(__xludf.DUMMYFUNCTION("""COMPUTED_VALUE"""),"CN")</f>
        <v>CN</v>
      </c>
      <c r="D96" s="24">
        <f ca="1">IFERROR(__xludf.DUMMYFUNCTION("""COMPUTED_VALUE"""),653.746659291902)</f>
        <v>653.74665929190201</v>
      </c>
    </row>
    <row r="97" spans="1:4" ht="16">
      <c r="A97" s="23" t="str">
        <f ca="1">IFERROR(__xludf.DUMMYFUNCTION("""COMPUTED_VALUE"""),"i15p 128")</f>
        <v>i15p 128</v>
      </c>
      <c r="B97" s="24" t="str">
        <f ca="1">IFERROR(__xludf.DUMMYFUNCTION("""COMPUTED_VALUE"""),"A+")</f>
        <v>A+</v>
      </c>
      <c r="C97" s="24" t="str">
        <f ca="1">IFERROR(__xludf.DUMMYFUNCTION("""COMPUTED_VALUE"""),"Intl")</f>
        <v>Intl</v>
      </c>
      <c r="D97" s="24">
        <f ca="1">IFERROR(__xludf.DUMMYFUNCTION("""COMPUTED_VALUE"""),690.513677490757)</f>
        <v>690.513677490757</v>
      </c>
    </row>
    <row r="98" spans="1:4" ht="16">
      <c r="A98" s="23" t="str">
        <f ca="1">IFERROR(__xludf.DUMMYFUNCTION("""COMPUTED_VALUE"""),"i15p 128")</f>
        <v>i15p 128</v>
      </c>
      <c r="B98" s="24" t="str">
        <f ca="1">IFERROR(__xludf.DUMMYFUNCTION("""COMPUTED_VALUE"""),"A+")</f>
        <v>A+</v>
      </c>
      <c r="C98" s="24" t="str">
        <f ca="1">IFERROR(__xludf.DUMMYFUNCTION("""COMPUTED_VALUE"""),"US")</f>
        <v>US</v>
      </c>
      <c r="D98" s="24">
        <f ca="1">IFERROR(__xludf.DUMMYFUNCTION("""COMPUTED_VALUE"""),601.12595579279)</f>
        <v>601.12595579279002</v>
      </c>
    </row>
    <row r="99" spans="1:4" ht="16">
      <c r="A99" s="23" t="str">
        <f ca="1">IFERROR(__xludf.DUMMYFUNCTION("""COMPUTED_VALUE"""),"i15p 256")</f>
        <v>i15p 256</v>
      </c>
      <c r="B99" s="24" t="str">
        <f ca="1">IFERROR(__xludf.DUMMYFUNCTION("""COMPUTED_VALUE"""),"A+")</f>
        <v>A+</v>
      </c>
      <c r="C99" s="24" t="str">
        <f ca="1">IFERROR(__xludf.DUMMYFUNCTION("""COMPUTED_VALUE"""),"CN")</f>
        <v>CN</v>
      </c>
      <c r="D99" s="24">
        <f ca="1">IFERROR(__xludf.DUMMYFUNCTION("""COMPUTED_VALUE"""),705.524734399793)</f>
        <v>705.52473439979303</v>
      </c>
    </row>
    <row r="100" spans="1:4" ht="16">
      <c r="A100" s="23" t="str">
        <f ca="1">IFERROR(__xludf.DUMMYFUNCTION("""COMPUTED_VALUE"""),"i15p 256")</f>
        <v>i15p 256</v>
      </c>
      <c r="B100" s="24" t="str">
        <f ca="1">IFERROR(__xludf.DUMMYFUNCTION("""COMPUTED_VALUE"""),"A+")</f>
        <v>A+</v>
      </c>
      <c r="C100" s="24" t="str">
        <f ca="1">IFERROR(__xludf.DUMMYFUNCTION("""COMPUTED_VALUE"""),"Intl")</f>
        <v>Intl</v>
      </c>
      <c r="D100" s="24">
        <f ca="1">IFERROR(__xludf.DUMMYFUNCTION("""COMPUTED_VALUE"""),738.559004794382)</f>
        <v>738.55900479438196</v>
      </c>
    </row>
    <row r="101" spans="1:4" ht="16">
      <c r="A101" s="23" t="str">
        <f ca="1">IFERROR(__xludf.DUMMYFUNCTION("""COMPUTED_VALUE"""),"i15p 256")</f>
        <v>i15p 256</v>
      </c>
      <c r="B101" s="24" t="str">
        <f ca="1">IFERROR(__xludf.DUMMYFUNCTION("""COMPUTED_VALUE"""),"A+")</f>
        <v>A+</v>
      </c>
      <c r="C101" s="24" t="str">
        <f ca="1">IFERROR(__xludf.DUMMYFUNCTION("""COMPUTED_VALUE"""),"US")</f>
        <v>US</v>
      </c>
      <c r="D101" s="24">
        <f ca="1">IFERROR(__xludf.DUMMYFUNCTION("""COMPUTED_VALUE"""),641.625721795912)</f>
        <v>641.625721795912</v>
      </c>
    </row>
    <row r="102" spans="1:4" ht="16">
      <c r="A102" s="23" t="str">
        <f ca="1">IFERROR(__xludf.DUMMYFUNCTION("""COMPUTED_VALUE"""),"i15p 512")</f>
        <v>i15p 512</v>
      </c>
      <c r="B102" s="24" t="str">
        <f ca="1">IFERROR(__xludf.DUMMYFUNCTION("""COMPUTED_VALUE"""),"A+")</f>
        <v>A+</v>
      </c>
      <c r="C102" s="24" t="str">
        <f ca="1">IFERROR(__xludf.DUMMYFUNCTION("""COMPUTED_VALUE"""),"CN")</f>
        <v>CN</v>
      </c>
      <c r="D102" s="24">
        <f ca="1">IFERROR(__xludf.DUMMYFUNCTION("""COMPUTED_VALUE"""),749.837313899153)</f>
        <v>749.83731389915295</v>
      </c>
    </row>
    <row r="103" spans="1:4" ht="16">
      <c r="A103" s="23" t="str">
        <f ca="1">IFERROR(__xludf.DUMMYFUNCTION("""COMPUTED_VALUE"""),"i15p 512")</f>
        <v>i15p 512</v>
      </c>
      <c r="B103" s="24" t="str">
        <f ca="1">IFERROR(__xludf.DUMMYFUNCTION("""COMPUTED_VALUE"""),"A+")</f>
        <v>A+</v>
      </c>
      <c r="C103" s="24" t="str">
        <f ca="1">IFERROR(__xludf.DUMMYFUNCTION("""COMPUTED_VALUE"""),"Intl")</f>
        <v>Intl</v>
      </c>
      <c r="D103" s="24">
        <f ca="1">IFERROR(__xludf.DUMMYFUNCTION("""COMPUTED_VALUE"""),768.100724460622)</f>
        <v>768.10072446062202</v>
      </c>
    </row>
    <row r="104" spans="1:4" ht="16">
      <c r="A104" s="23" t="str">
        <f ca="1">IFERROR(__xludf.DUMMYFUNCTION("""COMPUTED_VALUE"""),"i15p 512")</f>
        <v>i15p 512</v>
      </c>
      <c r="B104" s="24" t="str">
        <f ca="1">IFERROR(__xludf.DUMMYFUNCTION("""COMPUTED_VALUE"""),"A+")</f>
        <v>A+</v>
      </c>
      <c r="C104" s="24" t="str">
        <f ca="1">IFERROR(__xludf.DUMMYFUNCTION("""COMPUTED_VALUE"""),"US")</f>
        <v>US</v>
      </c>
      <c r="D104" s="24">
        <f ca="1">IFERROR(__xludf.DUMMYFUNCTION("""COMPUTED_VALUE"""),688.338081361775)</f>
        <v>688.33808136177504</v>
      </c>
    </row>
    <row r="105" spans="1:4" ht="16">
      <c r="A105" s="23" t="str">
        <f ca="1">IFERROR(__xludf.DUMMYFUNCTION("""COMPUTED_VALUE"""),"i15pm 256")</f>
        <v>i15pm 256</v>
      </c>
      <c r="B105" s="24" t="str">
        <f ca="1">IFERROR(__xludf.DUMMYFUNCTION("""COMPUTED_VALUE"""),"A+")</f>
        <v>A+</v>
      </c>
      <c r="C105" s="24" t="str">
        <f ca="1">IFERROR(__xludf.DUMMYFUNCTION("""COMPUTED_VALUE"""),"CN")</f>
        <v>CN</v>
      </c>
      <c r="D105" s="24">
        <f ca="1">IFERROR(__xludf.DUMMYFUNCTION("""COMPUTED_VALUE"""),820.625349129366)</f>
        <v>820.62534912936599</v>
      </c>
    </row>
    <row r="106" spans="1:4" ht="16">
      <c r="A106" s="23" t="str">
        <f ca="1">IFERROR(__xludf.DUMMYFUNCTION("""COMPUTED_VALUE"""),"i15pm 256")</f>
        <v>i15pm 256</v>
      </c>
      <c r="B106" s="24" t="str">
        <f ca="1">IFERROR(__xludf.DUMMYFUNCTION("""COMPUTED_VALUE"""),"A+")</f>
        <v>A+</v>
      </c>
      <c r="C106" s="24" t="str">
        <f ca="1">IFERROR(__xludf.DUMMYFUNCTION("""COMPUTED_VALUE"""),"Intl")</f>
        <v>Intl</v>
      </c>
      <c r="D106" s="24">
        <f ca="1">IFERROR(__xludf.DUMMYFUNCTION("""COMPUTED_VALUE"""),857.472433020193)</f>
        <v>857.47243302019297</v>
      </c>
    </row>
    <row r="107" spans="1:4" ht="16">
      <c r="A107" s="23" t="str">
        <f ca="1">IFERROR(__xludf.DUMMYFUNCTION("""COMPUTED_VALUE"""),"i15pm 256")</f>
        <v>i15pm 256</v>
      </c>
      <c r="B107" s="24" t="str">
        <f ca="1">IFERROR(__xludf.DUMMYFUNCTION("""COMPUTED_VALUE"""),"A+")</f>
        <v>A+</v>
      </c>
      <c r="C107" s="24" t="str">
        <f ca="1">IFERROR(__xludf.DUMMYFUNCTION("""COMPUTED_VALUE"""),"US")</f>
        <v>US</v>
      </c>
      <c r="D107" s="24">
        <f ca="1">IFERROR(__xludf.DUMMYFUNCTION("""COMPUTED_VALUE"""),726.011780505427)</f>
        <v>726.01178050542705</v>
      </c>
    </row>
    <row r="108" spans="1:4" ht="16">
      <c r="A108" s="23" t="str">
        <f ca="1">IFERROR(__xludf.DUMMYFUNCTION("""COMPUTED_VALUE"""),"i15pm 512")</f>
        <v>i15pm 512</v>
      </c>
      <c r="B108" s="24" t="str">
        <f ca="1">IFERROR(__xludf.DUMMYFUNCTION("""COMPUTED_VALUE"""),"A+")</f>
        <v>A+</v>
      </c>
      <c r="C108" s="24" t="str">
        <f ca="1">IFERROR(__xludf.DUMMYFUNCTION("""COMPUTED_VALUE"""),"CN")</f>
        <v>CN</v>
      </c>
      <c r="D108" s="24">
        <f ca="1">IFERROR(__xludf.DUMMYFUNCTION("""COMPUTED_VALUE"""),898.132330407259)</f>
        <v>898.13233040725902</v>
      </c>
    </row>
    <row r="109" spans="1:4" ht="16">
      <c r="A109" s="23" t="str">
        <f ca="1">IFERROR(__xludf.DUMMYFUNCTION("""COMPUTED_VALUE"""),"i16 128")</f>
        <v>i16 128</v>
      </c>
      <c r="B109" s="24" t="str">
        <f ca="1">IFERROR(__xludf.DUMMYFUNCTION("""COMPUTED_VALUE"""),"A+")</f>
        <v>A+</v>
      </c>
      <c r="C109" s="24" t="str">
        <f ca="1">IFERROR(__xludf.DUMMYFUNCTION("""COMPUTED_VALUE"""),"Intl")</f>
        <v>Intl</v>
      </c>
      <c r="D109" s="24">
        <f ca="1">IFERROR(__xludf.DUMMYFUNCTION("""COMPUTED_VALUE"""),644.390770073645)</f>
        <v>644.39077007364494</v>
      </c>
    </row>
    <row r="110" spans="1:4" ht="16">
      <c r="A110" s="23" t="str">
        <f ca="1">IFERROR(__xludf.DUMMYFUNCTION("""COMPUTED_VALUE"""),"i16 128")</f>
        <v>i16 128</v>
      </c>
      <c r="B110" s="24" t="str">
        <f ca="1">IFERROR(__xludf.DUMMYFUNCTION("""COMPUTED_VALUE"""),"A+")</f>
        <v>A+</v>
      </c>
      <c r="C110" s="24" t="str">
        <f ca="1">IFERROR(__xludf.DUMMYFUNCTION("""COMPUTED_VALUE"""),"US")</f>
        <v>US</v>
      </c>
      <c r="D110" s="24">
        <f ca="1">IFERROR(__xludf.DUMMYFUNCTION("""COMPUTED_VALUE"""),591.215674674414)</f>
        <v>591.215674674414</v>
      </c>
    </row>
    <row r="111" spans="1:4" ht="16">
      <c r="A111" s="23" t="str">
        <f ca="1">IFERROR(__xludf.DUMMYFUNCTION("""COMPUTED_VALUE"""),"i16 256")</f>
        <v>i16 256</v>
      </c>
      <c r="B111" s="24" t="str">
        <f ca="1">IFERROR(__xludf.DUMMYFUNCTION("""COMPUTED_VALUE"""),"A+")</f>
        <v>A+</v>
      </c>
      <c r="C111" s="24" t="str">
        <f ca="1">IFERROR(__xludf.DUMMYFUNCTION("""COMPUTED_VALUE"""),"US")</f>
        <v>US</v>
      </c>
      <c r="D111" s="24">
        <f ca="1">IFERROR(__xludf.DUMMYFUNCTION("""COMPUTED_VALUE"""),650.299114006893)</f>
        <v>650.29911400689298</v>
      </c>
    </row>
    <row r="112" spans="1:4" ht="16">
      <c r="A112" s="23" t="str">
        <f ca="1">IFERROR(__xludf.DUMMYFUNCTION("""COMPUTED_VALUE"""),"i16+ 128")</f>
        <v>i16+ 128</v>
      </c>
      <c r="B112" s="24" t="str">
        <f ca="1">IFERROR(__xludf.DUMMYFUNCTION("""COMPUTED_VALUE"""),"A+")</f>
        <v>A+</v>
      </c>
      <c r="C112" s="24" t="str">
        <f ca="1">IFERROR(__xludf.DUMMYFUNCTION("""COMPUTED_VALUE"""),"US")</f>
        <v>US</v>
      </c>
      <c r="D112" s="24">
        <f ca="1">IFERROR(__xludf.DUMMYFUNCTION("""COMPUTED_VALUE"""),665.069973840013)</f>
        <v>665.06997384001295</v>
      </c>
    </row>
    <row r="113" spans="1:4" ht="16">
      <c r="A113" s="23" t="str">
        <f ca="1">IFERROR(__xludf.DUMMYFUNCTION("""COMPUTED_VALUE"""),"i16+ 256")</f>
        <v>i16+ 256</v>
      </c>
      <c r="B113" s="24" t="str">
        <f ca="1">IFERROR(__xludf.DUMMYFUNCTION("""COMPUTED_VALUE"""),"A+")</f>
        <v>A+</v>
      </c>
      <c r="C113" s="24" t="str">
        <f ca="1">IFERROR(__xludf.DUMMYFUNCTION("""COMPUTED_VALUE"""),"US")</f>
        <v>US</v>
      </c>
      <c r="D113" s="24">
        <f ca="1">IFERROR(__xludf.DUMMYFUNCTION("""COMPUTED_VALUE"""),709.382553339372)</f>
        <v>709.38255333937195</v>
      </c>
    </row>
    <row r="114" spans="1:4" ht="16">
      <c r="A114" s="23" t="str">
        <f ca="1">IFERROR(__xludf.DUMMYFUNCTION("""COMPUTED_VALUE"""),"i16p 128")</f>
        <v>i16p 128</v>
      </c>
      <c r="B114" s="24" t="str">
        <f ca="1">IFERROR(__xludf.DUMMYFUNCTION("""COMPUTED_VALUE"""),"A+")</f>
        <v>A+</v>
      </c>
      <c r="C114" s="24" t="str">
        <f ca="1">IFERROR(__xludf.DUMMYFUNCTION("""COMPUTED_VALUE"""),"Intl")</f>
        <v>Intl</v>
      </c>
      <c r="D114" s="24">
        <f ca="1">IFERROR(__xludf.DUMMYFUNCTION("""COMPUTED_VALUE"""),851.230847152505)</f>
        <v>851.23084715250502</v>
      </c>
    </row>
    <row r="115" spans="1:4" ht="16">
      <c r="A115" s="23" t="str">
        <f ca="1">IFERROR(__xludf.DUMMYFUNCTION("""COMPUTED_VALUE"""),"i16p 128")</f>
        <v>i16p 128</v>
      </c>
      <c r="B115" s="24" t="str">
        <f ca="1">IFERROR(__xludf.DUMMYFUNCTION("""COMPUTED_VALUE"""),"A+")</f>
        <v>A+</v>
      </c>
      <c r="C115" s="24" t="str">
        <f ca="1">IFERROR(__xludf.DUMMYFUNCTION("""COMPUTED_VALUE"""),"US")</f>
        <v>US</v>
      </c>
      <c r="D115" s="24">
        <f ca="1">IFERROR(__xludf.DUMMYFUNCTION("""COMPUTED_VALUE"""),769.991118070346)</f>
        <v>769.99111807034603</v>
      </c>
    </row>
    <row r="116" spans="1:4" ht="16">
      <c r="A116" s="23" t="str">
        <f ca="1">IFERROR(__xludf.DUMMYFUNCTION("""COMPUTED_VALUE"""),"i16p 256")</f>
        <v>i16p 256</v>
      </c>
      <c r="B116" s="24" t="str">
        <f ca="1">IFERROR(__xludf.DUMMYFUNCTION("""COMPUTED_VALUE"""),"A+")</f>
        <v>A+</v>
      </c>
      <c r="C116" s="24" t="str">
        <f ca="1">IFERROR(__xludf.DUMMYFUNCTION("""COMPUTED_VALUE"""),"Intl")</f>
        <v>Intl</v>
      </c>
      <c r="D116" s="24">
        <f ca="1">IFERROR(__xludf.DUMMYFUNCTION("""COMPUTED_VALUE"""),925.085146318104)</f>
        <v>925.08514631810397</v>
      </c>
    </row>
    <row r="117" spans="1:4" ht="16">
      <c r="A117" s="23" t="str">
        <f ca="1">IFERROR(__xludf.DUMMYFUNCTION("""COMPUTED_VALUE"""),"i16p 256")</f>
        <v>i16p 256</v>
      </c>
      <c r="B117" s="24" t="str">
        <f ca="1">IFERROR(__xludf.DUMMYFUNCTION("""COMPUTED_VALUE"""),"A+")</f>
        <v>A+</v>
      </c>
      <c r="C117" s="24" t="str">
        <f ca="1">IFERROR(__xludf.DUMMYFUNCTION("""COMPUTED_VALUE"""),"US")</f>
        <v>US</v>
      </c>
      <c r="D117" s="24">
        <f ca="1">IFERROR(__xludf.DUMMYFUNCTION("""COMPUTED_VALUE"""),821.689127486265)</f>
        <v>821.68912748626497</v>
      </c>
    </row>
    <row r="118" spans="1:4" ht="16">
      <c r="A118" s="23" t="str">
        <f ca="1">IFERROR(__xludf.DUMMYFUNCTION("""COMPUTED_VALUE"""),"i16pm 256")</f>
        <v>i16pm 256</v>
      </c>
      <c r="B118" s="24" t="str">
        <f ca="1">IFERROR(__xludf.DUMMYFUNCTION("""COMPUTED_VALUE"""),"A+")</f>
        <v>A+</v>
      </c>
      <c r="C118" s="24" t="str">
        <f ca="1">IFERROR(__xludf.DUMMYFUNCTION("""COMPUTED_VALUE"""),"US")</f>
        <v>US</v>
      </c>
      <c r="D118" s="24">
        <f ca="1">IFERROR(__xludf.DUMMYFUNCTION("""COMPUTED_VALUE"""),976.783155734023)</f>
        <v>976.78315573402301</v>
      </c>
    </row>
    <row r="119" spans="1:4" ht="16">
      <c r="A119" s="23" t="str">
        <f ca="1">IFERROR(__xludf.DUMMYFUNCTION("""COMPUTED_VALUE"""),"i16pm 512")</f>
        <v>i16pm 512</v>
      </c>
      <c r="B119" s="24" t="str">
        <f ca="1">IFERROR(__xludf.DUMMYFUNCTION("""COMPUTED_VALUE"""),"A+")</f>
        <v>A+</v>
      </c>
      <c r="C119" s="24" t="str">
        <f ca="1">IFERROR(__xludf.DUMMYFUNCTION("""COMPUTED_VALUE"""),"US")</f>
        <v>US</v>
      </c>
      <c r="D119" s="24">
        <f ca="1">IFERROR(__xludf.DUMMYFUNCTION("""COMPUTED_VALUE"""),1050.63745489962)</f>
        <v>1050.63745489962</v>
      </c>
    </row>
    <row r="120" spans="1:4" ht="16">
      <c r="A120" s="23" t="str">
        <f ca="1">IFERROR(__xludf.DUMMYFUNCTION("""COMPUTED_VALUE"""),"iSE2 128")</f>
        <v>iSE2 128</v>
      </c>
      <c r="B120" s="24" t="str">
        <f ca="1">IFERROR(__xludf.DUMMYFUNCTION("""COMPUTED_VALUE"""),"A+")</f>
        <v>A+</v>
      </c>
      <c r="C120" s="24" t="str">
        <f ca="1">IFERROR(__xludf.DUMMYFUNCTION("""COMPUTED_VALUE"""),"US")</f>
        <v>US</v>
      </c>
      <c r="D120" s="24">
        <f ca="1">IFERROR(__xludf.DUMMYFUNCTION("""COMPUTED_VALUE"""),125.539884442817)</f>
        <v>125.539884442817</v>
      </c>
    </row>
    <row r="121" spans="1:4" ht="16">
      <c r="A121" s="23" t="str">
        <f ca="1">IFERROR(__xludf.DUMMYFUNCTION("""COMPUTED_VALUE"""),"iSE2 64")</f>
        <v>iSE2 64</v>
      </c>
      <c r="B121" s="24" t="str">
        <f ca="1">IFERROR(__xludf.DUMMYFUNCTION("""COMPUTED_VALUE"""),"A+")</f>
        <v>A+</v>
      </c>
      <c r="C121" s="24" t="str">
        <f ca="1">IFERROR(__xludf.DUMMYFUNCTION("""COMPUTED_VALUE"""),"US")</f>
        <v>US</v>
      </c>
      <c r="D121" s="24">
        <f ca="1">IFERROR(__xludf.DUMMYFUNCTION("""COMPUTED_VALUE"""),122.726387331746)</f>
        <v>122.726387331746</v>
      </c>
    </row>
    <row r="122" spans="1:4" ht="16">
      <c r="A122" s="23" t="str">
        <f ca="1">IFERROR(__xludf.DUMMYFUNCTION("""COMPUTED_VALUE"""),"iSE3 128")</f>
        <v>iSE3 128</v>
      </c>
      <c r="B122" s="24" t="str">
        <f ca="1">IFERROR(__xludf.DUMMYFUNCTION("""COMPUTED_VALUE"""),"A+")</f>
        <v>A+</v>
      </c>
      <c r="C122" s="24" t="str">
        <f ca="1">IFERROR(__xludf.DUMMYFUNCTION("""COMPUTED_VALUE"""),"US")</f>
        <v>US</v>
      </c>
      <c r="D122" s="24">
        <f ca="1">IFERROR(__xludf.DUMMYFUNCTION("""COMPUTED_VALUE"""),162.841597076492)</f>
        <v>162.84159707649201</v>
      </c>
    </row>
    <row r="123" spans="1:4" ht="16">
      <c r="A123" s="23" t="str">
        <f ca="1">IFERROR(__xludf.DUMMYFUNCTION("""COMPUTED_VALUE"""),"iSE3 64")</f>
        <v>iSE3 64</v>
      </c>
      <c r="B123" s="24" t="str">
        <f ca="1">IFERROR(__xludf.DUMMYFUNCTION("""COMPUTED_VALUE"""),"A+")</f>
        <v>A+</v>
      </c>
      <c r="C123" s="24" t="str">
        <f ca="1">IFERROR(__xludf.DUMMYFUNCTION("""COMPUTED_VALUE"""),"US")</f>
        <v>US</v>
      </c>
      <c r="D123" s="24">
        <f ca="1">IFERROR(__xludf.DUMMYFUNCTION("""COMPUTED_VALUE"""),138.215872050628)</f>
        <v>138.21587205062801</v>
      </c>
    </row>
    <row r="124" spans="1:4" ht="13">
      <c r="A124" s="21"/>
      <c r="B124" s="21"/>
      <c r="C124" s="21"/>
      <c r="D124" s="21"/>
    </row>
    <row r="125" spans="1:4" ht="13">
      <c r="A125" s="21"/>
      <c r="B125" s="21"/>
      <c r="C125" s="21"/>
      <c r="D125" s="21"/>
    </row>
    <row r="126" spans="1:4" ht="13">
      <c r="A126" s="21"/>
      <c r="B126" s="21"/>
      <c r="C126" s="21"/>
      <c r="D126" s="21"/>
    </row>
    <row r="127" spans="1:4" ht="13">
      <c r="A127" s="21"/>
      <c r="B127" s="21"/>
      <c r="C127" s="21"/>
      <c r="D127" s="21"/>
    </row>
    <row r="128" spans="1:4" ht="13">
      <c r="A128" s="21"/>
      <c r="B128" s="21"/>
      <c r="C128" s="21"/>
      <c r="D128" s="21"/>
    </row>
    <row r="129" spans="1:4" ht="13">
      <c r="A129" s="21"/>
      <c r="B129" s="21"/>
      <c r="C129" s="21"/>
      <c r="D129" s="21"/>
    </row>
    <row r="130" spans="1:4" ht="13">
      <c r="A130" s="21"/>
      <c r="B130" s="21"/>
      <c r="C130" s="21"/>
      <c r="D130" s="21"/>
    </row>
    <row r="131" spans="1:4" ht="13">
      <c r="A131" s="21"/>
      <c r="B131" s="21"/>
      <c r="C131" s="21"/>
      <c r="D131" s="21"/>
    </row>
    <row r="132" spans="1:4" ht="13">
      <c r="A132" s="21"/>
      <c r="B132" s="21"/>
      <c r="C132" s="21"/>
      <c r="D132" s="21"/>
    </row>
    <row r="133" spans="1:4" ht="13">
      <c r="A133" s="21"/>
      <c r="B133" s="21"/>
      <c r="C133" s="21"/>
      <c r="D133" s="21"/>
    </row>
    <row r="134" spans="1:4" ht="13">
      <c r="A134" s="21"/>
      <c r="B134" s="21"/>
      <c r="C134" s="21"/>
      <c r="D134" s="21"/>
    </row>
    <row r="135" spans="1:4" ht="13">
      <c r="A135" s="21"/>
      <c r="B135" s="21"/>
      <c r="C135" s="21"/>
      <c r="D135" s="21"/>
    </row>
    <row r="136" spans="1:4" ht="13">
      <c r="A136" s="21"/>
      <c r="B136" s="21"/>
      <c r="C136" s="21"/>
      <c r="D136" s="21"/>
    </row>
    <row r="137" spans="1:4" ht="13">
      <c r="A137" s="21"/>
      <c r="B137" s="21"/>
      <c r="C137" s="21"/>
      <c r="D137" s="21"/>
    </row>
    <row r="138" spans="1:4" ht="13">
      <c r="A138" s="21"/>
      <c r="B138" s="21"/>
      <c r="C138" s="21"/>
      <c r="D138" s="21"/>
    </row>
    <row r="139" spans="1:4" ht="13">
      <c r="A139" s="21"/>
      <c r="B139" s="21"/>
      <c r="C139" s="21"/>
      <c r="D139" s="21"/>
    </row>
    <row r="140" spans="1:4" ht="13">
      <c r="A140" s="21"/>
      <c r="B140" s="21"/>
      <c r="C140" s="21"/>
      <c r="D140" s="21"/>
    </row>
    <row r="141" spans="1:4" ht="13">
      <c r="A141" s="21"/>
      <c r="B141" s="21"/>
      <c r="C141" s="21"/>
      <c r="D141" s="21"/>
    </row>
    <row r="142" spans="1:4" ht="13">
      <c r="A142" s="21"/>
      <c r="B142" s="21"/>
      <c r="C142" s="21"/>
      <c r="D142" s="21"/>
    </row>
    <row r="143" spans="1:4" ht="13">
      <c r="A143" s="21"/>
      <c r="B143" s="21"/>
      <c r="C143" s="21"/>
      <c r="D143" s="21"/>
    </row>
    <row r="144" spans="1:4" ht="13">
      <c r="A144" s="21"/>
      <c r="B144" s="21"/>
      <c r="C144" s="21"/>
      <c r="D144" s="21"/>
    </row>
    <row r="145" spans="1:4" ht="13">
      <c r="A145" s="21"/>
      <c r="B145" s="21"/>
      <c r="C145" s="21"/>
      <c r="D145" s="21"/>
    </row>
    <row r="146" spans="1:4" ht="13">
      <c r="A146" s="21"/>
      <c r="B146" s="21"/>
      <c r="C146" s="21"/>
      <c r="D146" s="21"/>
    </row>
    <row r="147" spans="1:4" ht="13">
      <c r="A147" s="21"/>
      <c r="B147" s="21"/>
      <c r="C147" s="21"/>
      <c r="D147" s="21"/>
    </row>
    <row r="148" spans="1:4" ht="13">
      <c r="A148" s="21"/>
      <c r="B148" s="21"/>
      <c r="C148" s="21"/>
      <c r="D148" s="21"/>
    </row>
    <row r="149" spans="1:4" ht="13">
      <c r="A149" s="21"/>
      <c r="B149" s="21"/>
      <c r="C149" s="21"/>
      <c r="D149" s="21"/>
    </row>
    <row r="150" spans="1:4" ht="13">
      <c r="A150" s="21"/>
      <c r="B150" s="21"/>
      <c r="C150" s="21"/>
      <c r="D150" s="21"/>
    </row>
    <row r="151" spans="1:4" ht="13">
      <c r="A151" s="21"/>
      <c r="B151" s="21"/>
      <c r="C151" s="21"/>
      <c r="D151" s="21"/>
    </row>
    <row r="152" spans="1:4" ht="13">
      <c r="A152" s="21"/>
      <c r="B152" s="21"/>
      <c r="C152" s="21"/>
      <c r="D152" s="21"/>
    </row>
    <row r="153" spans="1:4" ht="13">
      <c r="A153" s="21"/>
      <c r="B153" s="21"/>
      <c r="C153" s="21"/>
      <c r="D153" s="21"/>
    </row>
    <row r="154" spans="1:4" ht="13">
      <c r="A154" s="21"/>
      <c r="B154" s="21"/>
      <c r="C154" s="21"/>
      <c r="D154" s="21"/>
    </row>
    <row r="155" spans="1:4" ht="13">
      <c r="A155" s="21"/>
      <c r="B155" s="21"/>
      <c r="C155" s="21"/>
      <c r="D155" s="21"/>
    </row>
    <row r="156" spans="1:4" ht="13">
      <c r="A156" s="21"/>
      <c r="B156" s="21"/>
      <c r="C156" s="21"/>
      <c r="D156" s="21"/>
    </row>
    <row r="157" spans="1:4" ht="13">
      <c r="A157" s="21"/>
      <c r="B157" s="21"/>
      <c r="C157" s="21"/>
      <c r="D157" s="21"/>
    </row>
    <row r="158" spans="1:4" ht="13">
      <c r="A158" s="21"/>
      <c r="B158" s="21"/>
      <c r="C158" s="21"/>
      <c r="D158" s="21"/>
    </row>
    <row r="159" spans="1:4" ht="13">
      <c r="A159" s="21"/>
      <c r="B159" s="21"/>
      <c r="C159" s="21"/>
      <c r="D159" s="21"/>
    </row>
    <row r="160" spans="1:4" ht="13">
      <c r="A160" s="21"/>
      <c r="B160" s="21"/>
      <c r="C160" s="21"/>
      <c r="D160" s="21"/>
    </row>
    <row r="161" spans="1:4" ht="13">
      <c r="A161" s="21"/>
      <c r="B161" s="21"/>
      <c r="C161" s="21"/>
      <c r="D161" s="21"/>
    </row>
    <row r="162" spans="1:4" ht="13">
      <c r="A162" s="21"/>
      <c r="B162" s="21"/>
      <c r="C162" s="21"/>
      <c r="D162" s="21"/>
    </row>
    <row r="163" spans="1:4" ht="13">
      <c r="A163" s="21"/>
      <c r="B163" s="21"/>
      <c r="C163" s="21"/>
      <c r="D163" s="21"/>
    </row>
    <row r="164" spans="1:4" ht="13">
      <c r="A164" s="21"/>
      <c r="B164" s="21"/>
      <c r="C164" s="21"/>
      <c r="D164" s="21"/>
    </row>
    <row r="165" spans="1:4" ht="13">
      <c r="A165" s="21"/>
      <c r="B165" s="21"/>
      <c r="C165" s="21"/>
      <c r="D165" s="21"/>
    </row>
    <row r="166" spans="1:4" ht="13">
      <c r="A166" s="21"/>
      <c r="B166" s="21"/>
      <c r="C166" s="21"/>
      <c r="D166" s="21"/>
    </row>
    <row r="167" spans="1:4" ht="13">
      <c r="A167" s="21"/>
      <c r="B167" s="21"/>
      <c r="C167" s="21"/>
      <c r="D167" s="21"/>
    </row>
    <row r="168" spans="1:4" ht="13">
      <c r="A168" s="21"/>
      <c r="B168" s="21"/>
      <c r="C168" s="21"/>
      <c r="D168" s="21"/>
    </row>
    <row r="169" spans="1:4" ht="13">
      <c r="A169" s="21"/>
      <c r="B169" s="21"/>
      <c r="C169" s="21"/>
      <c r="D169" s="21"/>
    </row>
    <row r="170" spans="1:4" ht="13">
      <c r="A170" s="21"/>
      <c r="B170" s="21"/>
      <c r="C170" s="21"/>
      <c r="D170" s="21"/>
    </row>
    <row r="171" spans="1:4" ht="13">
      <c r="A171" s="21"/>
      <c r="B171" s="21"/>
      <c r="C171" s="21"/>
      <c r="D171" s="21"/>
    </row>
    <row r="172" spans="1:4" ht="13">
      <c r="A172" s="21"/>
      <c r="B172" s="21"/>
      <c r="C172" s="21"/>
      <c r="D172" s="21"/>
    </row>
    <row r="173" spans="1:4" ht="13">
      <c r="A173" s="21"/>
      <c r="B173" s="21"/>
      <c r="C173" s="21"/>
      <c r="D173" s="21"/>
    </row>
    <row r="174" spans="1:4" ht="13">
      <c r="A174" s="21"/>
      <c r="B174" s="21"/>
      <c r="C174" s="21"/>
      <c r="D174" s="21"/>
    </row>
    <row r="175" spans="1:4" ht="13">
      <c r="A175" s="21"/>
      <c r="B175" s="21"/>
      <c r="C175" s="21"/>
      <c r="D175" s="21"/>
    </row>
    <row r="176" spans="1:4" ht="13">
      <c r="A176" s="21"/>
      <c r="B176" s="21"/>
      <c r="C176" s="21"/>
      <c r="D176" s="21"/>
    </row>
    <row r="177" spans="1:4" ht="13">
      <c r="A177" s="21"/>
      <c r="B177" s="21"/>
      <c r="C177" s="21"/>
      <c r="D177" s="21"/>
    </row>
    <row r="178" spans="1:4" ht="13">
      <c r="A178" s="21"/>
      <c r="B178" s="21"/>
      <c r="C178" s="21"/>
      <c r="D178" s="21"/>
    </row>
    <row r="179" spans="1:4" ht="13">
      <c r="A179" s="21"/>
      <c r="B179" s="21"/>
      <c r="C179" s="21"/>
      <c r="D179" s="21"/>
    </row>
    <row r="180" spans="1:4" ht="13">
      <c r="A180" s="21"/>
      <c r="B180" s="21"/>
      <c r="C180" s="21"/>
      <c r="D180" s="21"/>
    </row>
    <row r="181" spans="1:4" ht="13">
      <c r="A181" s="21"/>
      <c r="B181" s="21"/>
      <c r="C181" s="21"/>
      <c r="D181" s="21"/>
    </row>
    <row r="182" spans="1:4" ht="13">
      <c r="A182" s="21"/>
      <c r="B182" s="21"/>
      <c r="C182" s="21"/>
      <c r="D182" s="21"/>
    </row>
    <row r="183" spans="1:4" ht="13">
      <c r="A183" s="21"/>
      <c r="B183" s="21"/>
      <c r="C183" s="21"/>
      <c r="D183" s="21"/>
    </row>
    <row r="184" spans="1:4" ht="13">
      <c r="A184" s="21"/>
      <c r="B184" s="21"/>
      <c r="C184" s="21"/>
      <c r="D184" s="21"/>
    </row>
    <row r="185" spans="1:4" ht="13">
      <c r="A185" s="21"/>
      <c r="B185" s="21"/>
      <c r="C185" s="21"/>
      <c r="D185" s="21"/>
    </row>
    <row r="186" spans="1:4" ht="13">
      <c r="A186" s="21"/>
      <c r="B186" s="21"/>
      <c r="C186" s="21"/>
      <c r="D186" s="21"/>
    </row>
    <row r="187" spans="1:4" ht="13">
      <c r="A187" s="21"/>
      <c r="B187" s="21"/>
      <c r="C187" s="21"/>
      <c r="D187" s="21"/>
    </row>
    <row r="188" spans="1:4" ht="13">
      <c r="A188" s="21"/>
      <c r="B188" s="21"/>
      <c r="C188" s="21"/>
      <c r="D188" s="21"/>
    </row>
    <row r="189" spans="1:4" ht="13">
      <c r="A189" s="21"/>
      <c r="B189" s="21"/>
      <c r="C189" s="21"/>
      <c r="D189" s="21"/>
    </row>
    <row r="190" spans="1:4" ht="13">
      <c r="A190" s="21"/>
      <c r="B190" s="21"/>
      <c r="C190" s="21"/>
      <c r="D190" s="21"/>
    </row>
    <row r="191" spans="1:4" ht="13">
      <c r="A191" s="21"/>
      <c r="B191" s="21"/>
      <c r="C191" s="21"/>
      <c r="D191" s="21"/>
    </row>
    <row r="192" spans="1:4" ht="13">
      <c r="A192" s="21"/>
      <c r="B192" s="21"/>
      <c r="C192" s="21"/>
      <c r="D192" s="21"/>
    </row>
    <row r="193" spans="1:4" ht="13">
      <c r="A193" s="21"/>
      <c r="B193" s="21"/>
      <c r="C193" s="21"/>
      <c r="D193" s="21"/>
    </row>
    <row r="194" spans="1:4" ht="13">
      <c r="A194" s="21"/>
      <c r="B194" s="21"/>
      <c r="C194" s="21"/>
      <c r="D194" s="21"/>
    </row>
    <row r="195" spans="1:4" ht="13">
      <c r="A195" s="21"/>
      <c r="B195" s="21"/>
      <c r="C195" s="21"/>
      <c r="D195" s="21"/>
    </row>
    <row r="196" spans="1:4" ht="13">
      <c r="A196" s="21"/>
      <c r="B196" s="21"/>
      <c r="C196" s="21"/>
      <c r="D196" s="21"/>
    </row>
    <row r="197" spans="1:4" ht="13">
      <c r="A197" s="21"/>
      <c r="B197" s="21"/>
      <c r="C197" s="21"/>
      <c r="D197" s="21"/>
    </row>
    <row r="198" spans="1:4" ht="13">
      <c r="A198" s="21"/>
      <c r="B198" s="21"/>
      <c r="C198" s="21"/>
      <c r="D198" s="21"/>
    </row>
    <row r="199" spans="1:4" ht="13">
      <c r="A199" s="21"/>
      <c r="B199" s="21"/>
      <c r="C199" s="21"/>
      <c r="D199" s="21"/>
    </row>
    <row r="200" spans="1:4" ht="13">
      <c r="A200" s="21"/>
      <c r="B200" s="21"/>
      <c r="C200" s="21"/>
      <c r="D200" s="21"/>
    </row>
    <row r="201" spans="1:4" ht="13">
      <c r="A201" s="21"/>
      <c r="B201" s="21"/>
      <c r="C201" s="21"/>
      <c r="D201" s="21"/>
    </row>
    <row r="202" spans="1:4" ht="13">
      <c r="A202" s="21"/>
      <c r="B202" s="21"/>
      <c r="C202" s="21"/>
      <c r="D202" s="21"/>
    </row>
    <row r="203" spans="1:4" ht="13">
      <c r="A203" s="21"/>
      <c r="B203" s="21"/>
      <c r="C203" s="21"/>
      <c r="D203" s="21"/>
    </row>
    <row r="204" spans="1:4" ht="13">
      <c r="A204" s="21"/>
      <c r="B204" s="21"/>
      <c r="C204" s="21"/>
      <c r="D204" s="21"/>
    </row>
    <row r="205" spans="1:4" ht="13">
      <c r="A205" s="21"/>
      <c r="B205" s="21"/>
      <c r="C205" s="21"/>
      <c r="D205" s="21"/>
    </row>
    <row r="206" spans="1:4" ht="13">
      <c r="A206" s="21"/>
      <c r="B206" s="21"/>
      <c r="C206" s="21"/>
      <c r="D206" s="21"/>
    </row>
    <row r="207" spans="1:4" ht="13">
      <c r="A207" s="21"/>
      <c r="B207" s="21"/>
      <c r="C207" s="21"/>
      <c r="D207" s="21"/>
    </row>
    <row r="208" spans="1:4" ht="13">
      <c r="A208" s="21"/>
      <c r="B208" s="21"/>
      <c r="C208" s="21"/>
      <c r="D208" s="21"/>
    </row>
    <row r="209" spans="1:4" ht="13">
      <c r="A209" s="21"/>
      <c r="B209" s="21"/>
      <c r="C209" s="21"/>
      <c r="D209" s="21"/>
    </row>
    <row r="210" spans="1:4" ht="13">
      <c r="A210" s="21"/>
      <c r="B210" s="21"/>
      <c r="C210" s="21"/>
      <c r="D210" s="21"/>
    </row>
    <row r="211" spans="1:4" ht="13">
      <c r="A211" s="21"/>
      <c r="B211" s="21"/>
      <c r="C211" s="21"/>
      <c r="D211" s="21"/>
    </row>
    <row r="212" spans="1:4" ht="13">
      <c r="A212" s="21"/>
      <c r="B212" s="21"/>
      <c r="C212" s="21"/>
      <c r="D212" s="21"/>
    </row>
    <row r="213" spans="1:4" ht="13">
      <c r="A213" s="21"/>
      <c r="B213" s="21"/>
      <c r="C213" s="21"/>
      <c r="D213" s="21"/>
    </row>
    <row r="214" spans="1:4" ht="13">
      <c r="A214" s="21"/>
      <c r="B214" s="21"/>
      <c r="C214" s="21"/>
      <c r="D214" s="21"/>
    </row>
    <row r="215" spans="1:4" ht="13">
      <c r="A215" s="21"/>
      <c r="B215" s="21"/>
      <c r="C215" s="21"/>
      <c r="D215" s="21"/>
    </row>
    <row r="216" spans="1:4" ht="13">
      <c r="A216" s="21"/>
      <c r="B216" s="21"/>
      <c r="C216" s="21"/>
      <c r="D216" s="21"/>
    </row>
    <row r="217" spans="1:4" ht="13">
      <c r="A217" s="21"/>
      <c r="B217" s="21"/>
      <c r="C217" s="21"/>
      <c r="D217" s="21"/>
    </row>
    <row r="218" spans="1:4" ht="13">
      <c r="A218" s="21"/>
      <c r="B218" s="21"/>
      <c r="C218" s="21"/>
      <c r="D218" s="21"/>
    </row>
    <row r="219" spans="1:4" ht="13">
      <c r="A219" s="21"/>
      <c r="B219" s="21"/>
      <c r="C219" s="21"/>
      <c r="D219" s="21"/>
    </row>
    <row r="220" spans="1:4" ht="13">
      <c r="A220" s="21"/>
      <c r="B220" s="21"/>
      <c r="C220" s="21"/>
      <c r="D220" s="21"/>
    </row>
    <row r="221" spans="1:4" ht="13">
      <c r="A221" s="21"/>
      <c r="B221" s="21"/>
      <c r="C221" s="21"/>
      <c r="D221" s="21"/>
    </row>
    <row r="222" spans="1:4" ht="13">
      <c r="A222" s="21"/>
      <c r="B222" s="21"/>
      <c r="C222" s="21"/>
      <c r="D222" s="21"/>
    </row>
    <row r="223" spans="1:4" ht="13">
      <c r="A223" s="21"/>
      <c r="B223" s="21"/>
      <c r="C223" s="21"/>
      <c r="D223" s="21"/>
    </row>
    <row r="224" spans="1:4" ht="13">
      <c r="A224" s="21"/>
      <c r="B224" s="21"/>
      <c r="C224" s="21"/>
      <c r="D224" s="21"/>
    </row>
    <row r="225" spans="1:4" ht="13">
      <c r="A225" s="21"/>
      <c r="B225" s="21"/>
      <c r="C225" s="21"/>
      <c r="D225" s="21"/>
    </row>
    <row r="226" spans="1:4" ht="13">
      <c r="A226" s="21"/>
      <c r="B226" s="21"/>
      <c r="C226" s="21"/>
      <c r="D226" s="21"/>
    </row>
    <row r="227" spans="1:4" ht="13">
      <c r="A227" s="21"/>
      <c r="B227" s="21"/>
      <c r="C227" s="21"/>
      <c r="D227" s="21"/>
    </row>
    <row r="228" spans="1:4" ht="13">
      <c r="A228" s="21"/>
      <c r="B228" s="21"/>
      <c r="C228" s="21"/>
      <c r="D228" s="21"/>
    </row>
    <row r="229" spans="1:4" ht="13">
      <c r="A229" s="21"/>
      <c r="B229" s="21"/>
      <c r="C229" s="21"/>
      <c r="D229" s="21"/>
    </row>
    <row r="230" spans="1:4" ht="13">
      <c r="A230" s="21"/>
      <c r="B230" s="21"/>
      <c r="C230" s="21"/>
      <c r="D230" s="21"/>
    </row>
    <row r="231" spans="1:4" ht="13">
      <c r="A231" s="21"/>
      <c r="B231" s="21"/>
      <c r="C231" s="21"/>
      <c r="D231" s="21"/>
    </row>
    <row r="232" spans="1:4" ht="13">
      <c r="A232" s="21"/>
      <c r="B232" s="21"/>
      <c r="C232" s="21"/>
      <c r="D232" s="21"/>
    </row>
    <row r="233" spans="1:4" ht="13">
      <c r="A233" s="21"/>
      <c r="B233" s="21"/>
      <c r="C233" s="21"/>
      <c r="D233" s="21"/>
    </row>
    <row r="234" spans="1:4" ht="13">
      <c r="A234" s="21"/>
      <c r="B234" s="21"/>
      <c r="C234" s="21"/>
      <c r="D234" s="21"/>
    </row>
    <row r="235" spans="1:4" ht="13">
      <c r="A235" s="21"/>
      <c r="B235" s="21"/>
      <c r="C235" s="21"/>
      <c r="D235" s="21"/>
    </row>
    <row r="236" spans="1:4" ht="13">
      <c r="A236" s="21"/>
      <c r="B236" s="21"/>
      <c r="C236" s="21"/>
      <c r="D236" s="21"/>
    </row>
    <row r="237" spans="1:4" ht="13">
      <c r="A237" s="21"/>
      <c r="B237" s="21"/>
      <c r="C237" s="21"/>
      <c r="D237" s="21"/>
    </row>
    <row r="238" spans="1:4" ht="13">
      <c r="A238" s="21"/>
      <c r="B238" s="21"/>
      <c r="C238" s="21"/>
      <c r="D238" s="21"/>
    </row>
    <row r="239" spans="1:4" ht="13">
      <c r="A239" s="21"/>
      <c r="B239" s="21"/>
      <c r="C239" s="21"/>
      <c r="D239" s="21"/>
    </row>
    <row r="240" spans="1:4" ht="13">
      <c r="A240" s="21"/>
      <c r="B240" s="21"/>
      <c r="C240" s="21"/>
      <c r="D240" s="21"/>
    </row>
    <row r="241" spans="1:4" ht="13">
      <c r="A241" s="21"/>
      <c r="B241" s="21"/>
      <c r="C241" s="21"/>
      <c r="D241" s="21"/>
    </row>
    <row r="242" spans="1:4" ht="13">
      <c r="A242" s="21"/>
      <c r="B242" s="21"/>
      <c r="C242" s="21"/>
      <c r="D242" s="21"/>
    </row>
    <row r="243" spans="1:4" ht="13">
      <c r="A243" s="21"/>
      <c r="B243" s="21"/>
      <c r="C243" s="21"/>
      <c r="D243" s="21"/>
    </row>
    <row r="244" spans="1:4" ht="13">
      <c r="A244" s="21"/>
      <c r="B244" s="21"/>
      <c r="C244" s="21"/>
      <c r="D244" s="21"/>
    </row>
    <row r="245" spans="1:4" ht="13">
      <c r="A245" s="21"/>
      <c r="B245" s="21"/>
      <c r="C245" s="21"/>
      <c r="D245" s="21"/>
    </row>
    <row r="246" spans="1:4" ht="13">
      <c r="A246" s="21"/>
      <c r="B246" s="21"/>
      <c r="C246" s="21"/>
      <c r="D246" s="21"/>
    </row>
    <row r="247" spans="1:4" ht="13">
      <c r="A247" s="21"/>
      <c r="B247" s="21"/>
      <c r="C247" s="21"/>
      <c r="D247" s="21"/>
    </row>
    <row r="248" spans="1:4" ht="13">
      <c r="A248" s="21"/>
      <c r="B248" s="21"/>
      <c r="C248" s="21"/>
      <c r="D248" s="21"/>
    </row>
    <row r="249" spans="1:4" ht="13">
      <c r="A249" s="21"/>
      <c r="B249" s="21"/>
      <c r="C249" s="21"/>
      <c r="D249" s="21"/>
    </row>
    <row r="250" spans="1:4" ht="13">
      <c r="A250" s="21"/>
      <c r="B250" s="21"/>
      <c r="C250" s="21"/>
      <c r="D250" s="21"/>
    </row>
    <row r="251" spans="1:4" ht="13">
      <c r="A251" s="21"/>
      <c r="B251" s="21"/>
      <c r="C251" s="21"/>
      <c r="D251" s="21"/>
    </row>
    <row r="252" spans="1:4" ht="13">
      <c r="A252" s="21"/>
      <c r="B252" s="21"/>
      <c r="C252" s="21"/>
      <c r="D252" s="21"/>
    </row>
    <row r="253" spans="1:4" ht="13">
      <c r="A253" s="21"/>
      <c r="B253" s="21"/>
      <c r="C253" s="21"/>
      <c r="D253" s="21"/>
    </row>
    <row r="254" spans="1:4" ht="13">
      <c r="A254" s="21"/>
      <c r="B254" s="21"/>
      <c r="C254" s="21"/>
      <c r="D254" s="21"/>
    </row>
    <row r="255" spans="1:4" ht="13">
      <c r="A255" s="21"/>
      <c r="B255" s="21"/>
      <c r="C255" s="21"/>
      <c r="D255" s="21"/>
    </row>
    <row r="256" spans="1:4" ht="13">
      <c r="A256" s="21"/>
      <c r="B256" s="21"/>
      <c r="C256" s="21"/>
      <c r="D256" s="21"/>
    </row>
    <row r="257" spans="1:4" ht="13">
      <c r="A257" s="21"/>
      <c r="B257" s="21"/>
      <c r="C257" s="21"/>
      <c r="D257" s="21"/>
    </row>
    <row r="258" spans="1:4" ht="13">
      <c r="A258" s="21"/>
      <c r="B258" s="21"/>
      <c r="C258" s="21"/>
      <c r="D258" s="21"/>
    </row>
    <row r="259" spans="1:4" ht="13">
      <c r="A259" s="21"/>
      <c r="B259" s="21"/>
      <c r="C259" s="21"/>
      <c r="D259" s="21"/>
    </row>
    <row r="260" spans="1:4" ht="13">
      <c r="A260" s="21"/>
      <c r="B260" s="21"/>
      <c r="C260" s="21"/>
      <c r="D260" s="21"/>
    </row>
    <row r="261" spans="1:4" ht="13">
      <c r="A261" s="21"/>
      <c r="B261" s="21"/>
      <c r="C261" s="21"/>
      <c r="D261" s="21"/>
    </row>
    <row r="262" spans="1:4" ht="13">
      <c r="A262" s="21"/>
      <c r="B262" s="21"/>
      <c r="C262" s="21"/>
      <c r="D262" s="21"/>
    </row>
    <row r="263" spans="1:4" ht="13">
      <c r="A263" s="21"/>
      <c r="B263" s="21"/>
      <c r="C263" s="21"/>
      <c r="D263" s="21"/>
    </row>
    <row r="264" spans="1:4" ht="13">
      <c r="A264" s="21"/>
      <c r="B264" s="21"/>
      <c r="C264" s="21"/>
      <c r="D264" s="21"/>
    </row>
    <row r="265" spans="1:4" ht="13">
      <c r="A265" s="21"/>
      <c r="B265" s="21"/>
      <c r="C265" s="21"/>
      <c r="D265" s="21"/>
    </row>
    <row r="266" spans="1:4" ht="13">
      <c r="A266" s="21"/>
      <c r="B266" s="21"/>
      <c r="C266" s="21"/>
      <c r="D266" s="21"/>
    </row>
    <row r="267" spans="1:4" ht="13">
      <c r="A267" s="21"/>
      <c r="B267" s="21"/>
      <c r="C267" s="21"/>
      <c r="D267" s="21"/>
    </row>
    <row r="268" spans="1:4" ht="13">
      <c r="A268" s="21"/>
      <c r="B268" s="21"/>
      <c r="C268" s="21"/>
      <c r="D268" s="21"/>
    </row>
    <row r="269" spans="1:4" ht="13">
      <c r="A269" s="21"/>
      <c r="B269" s="21"/>
      <c r="C269" s="21"/>
      <c r="D269" s="21"/>
    </row>
    <row r="270" spans="1:4" ht="13">
      <c r="A270" s="21"/>
      <c r="B270" s="21"/>
      <c r="C270" s="21"/>
      <c r="D270" s="21"/>
    </row>
    <row r="271" spans="1:4" ht="13">
      <c r="A271" s="21"/>
      <c r="B271" s="21"/>
      <c r="C271" s="21"/>
      <c r="D271" s="21"/>
    </row>
    <row r="272" spans="1:4" ht="13">
      <c r="A272" s="21"/>
      <c r="B272" s="21"/>
      <c r="C272" s="21"/>
      <c r="D272" s="21"/>
    </row>
    <row r="273" spans="1:4" ht="13">
      <c r="A273" s="21"/>
      <c r="B273" s="21"/>
      <c r="C273" s="21"/>
      <c r="D273" s="21"/>
    </row>
    <row r="274" spans="1:4" ht="13">
      <c r="A274" s="21"/>
      <c r="B274" s="21"/>
      <c r="C274" s="21"/>
      <c r="D274" s="21"/>
    </row>
    <row r="275" spans="1:4" ht="13">
      <c r="A275" s="21"/>
      <c r="B275" s="21"/>
      <c r="C275" s="21"/>
      <c r="D275" s="21"/>
    </row>
    <row r="276" spans="1:4" ht="13">
      <c r="A276" s="21"/>
      <c r="B276" s="21"/>
      <c r="C276" s="21"/>
      <c r="D276" s="21"/>
    </row>
    <row r="277" spans="1:4" ht="13">
      <c r="A277" s="21"/>
      <c r="B277" s="21"/>
      <c r="C277" s="21"/>
      <c r="D277" s="21"/>
    </row>
    <row r="278" spans="1:4" ht="13">
      <c r="A278" s="21"/>
      <c r="B278" s="21"/>
      <c r="C278" s="21"/>
      <c r="D278" s="21"/>
    </row>
    <row r="279" spans="1:4" ht="13">
      <c r="A279" s="21"/>
      <c r="B279" s="21"/>
      <c r="C279" s="21"/>
      <c r="D279" s="21"/>
    </row>
    <row r="280" spans="1:4" ht="13">
      <c r="A280" s="21"/>
      <c r="B280" s="21"/>
      <c r="C280" s="21"/>
      <c r="D280" s="21"/>
    </row>
    <row r="281" spans="1:4" ht="13">
      <c r="A281" s="21"/>
      <c r="B281" s="21"/>
      <c r="C281" s="21"/>
      <c r="D281" s="21"/>
    </row>
    <row r="282" spans="1:4" ht="13">
      <c r="A282" s="21"/>
      <c r="B282" s="21"/>
      <c r="C282" s="21"/>
      <c r="D282" s="21"/>
    </row>
    <row r="283" spans="1:4" ht="13">
      <c r="A283" s="21"/>
      <c r="B283" s="21"/>
      <c r="C283" s="21"/>
      <c r="D283" s="21"/>
    </row>
    <row r="284" spans="1:4" ht="13">
      <c r="A284" s="21"/>
      <c r="B284" s="21"/>
      <c r="C284" s="21"/>
      <c r="D284" s="21"/>
    </row>
    <row r="285" spans="1:4" ht="13">
      <c r="A285" s="21"/>
      <c r="B285" s="21"/>
      <c r="C285" s="21"/>
      <c r="D285" s="21"/>
    </row>
    <row r="286" spans="1:4" ht="13">
      <c r="A286" s="21"/>
      <c r="B286" s="21"/>
      <c r="C286" s="21"/>
      <c r="D286" s="21"/>
    </row>
    <row r="287" spans="1:4" ht="13">
      <c r="A287" s="21"/>
      <c r="B287" s="21"/>
      <c r="C287" s="21"/>
      <c r="D287" s="21"/>
    </row>
    <row r="288" spans="1:4" ht="13">
      <c r="A288" s="21"/>
      <c r="B288" s="21"/>
      <c r="C288" s="21"/>
      <c r="D288" s="21"/>
    </row>
    <row r="289" spans="1:4" ht="13">
      <c r="A289" s="21"/>
      <c r="B289" s="21"/>
      <c r="C289" s="21"/>
      <c r="D289" s="21"/>
    </row>
    <row r="290" spans="1:4" ht="13">
      <c r="A290" s="21"/>
      <c r="B290" s="21"/>
      <c r="C290" s="21"/>
      <c r="D290" s="21"/>
    </row>
    <row r="291" spans="1:4" ht="13">
      <c r="A291" s="21"/>
      <c r="B291" s="21"/>
      <c r="C291" s="21"/>
      <c r="D291" s="21"/>
    </row>
    <row r="292" spans="1:4" ht="13">
      <c r="A292" s="21"/>
      <c r="B292" s="21"/>
      <c r="C292" s="21"/>
      <c r="D292" s="21"/>
    </row>
    <row r="293" spans="1:4" ht="13">
      <c r="A293" s="21"/>
      <c r="B293" s="21"/>
      <c r="C293" s="21"/>
      <c r="D293" s="21"/>
    </row>
    <row r="294" spans="1:4" ht="13">
      <c r="A294" s="21"/>
      <c r="B294" s="21"/>
      <c r="C294" s="21"/>
      <c r="D294" s="21"/>
    </row>
    <row r="295" spans="1:4" ht="13">
      <c r="A295" s="21"/>
      <c r="B295" s="21"/>
      <c r="C295" s="21"/>
      <c r="D295" s="21"/>
    </row>
    <row r="296" spans="1:4" ht="13">
      <c r="A296" s="21"/>
      <c r="B296" s="21"/>
      <c r="C296" s="21"/>
      <c r="D296" s="21"/>
    </row>
    <row r="297" spans="1:4" ht="13">
      <c r="A297" s="21"/>
      <c r="B297" s="21"/>
      <c r="C297" s="21"/>
      <c r="D297" s="21"/>
    </row>
    <row r="298" spans="1:4" ht="13">
      <c r="A298" s="21"/>
      <c r="B298" s="21"/>
      <c r="C298" s="21"/>
      <c r="D298" s="21"/>
    </row>
    <row r="299" spans="1:4" ht="13">
      <c r="A299" s="21"/>
      <c r="B299" s="21"/>
      <c r="C299" s="21"/>
      <c r="D299" s="21"/>
    </row>
    <row r="300" spans="1:4" ht="13">
      <c r="A300" s="21"/>
      <c r="B300" s="21"/>
      <c r="C300" s="21"/>
      <c r="D300" s="21"/>
    </row>
    <row r="301" spans="1:4" ht="13">
      <c r="A301" s="21"/>
      <c r="B301" s="21"/>
      <c r="C301" s="21"/>
      <c r="D301" s="21"/>
    </row>
    <row r="302" spans="1:4" ht="13">
      <c r="A302" s="21"/>
      <c r="B302" s="21"/>
      <c r="C302" s="21"/>
      <c r="D302" s="21"/>
    </row>
    <row r="303" spans="1:4" ht="13">
      <c r="A303" s="21"/>
      <c r="B303" s="21"/>
      <c r="C303" s="21"/>
      <c r="D303" s="21"/>
    </row>
    <row r="304" spans="1:4" ht="13">
      <c r="A304" s="21"/>
      <c r="B304" s="21"/>
      <c r="C304" s="21"/>
      <c r="D304" s="21"/>
    </row>
    <row r="305" spans="1:4" ht="13">
      <c r="A305" s="21"/>
      <c r="B305" s="21"/>
      <c r="C305" s="21"/>
      <c r="D305" s="21"/>
    </row>
    <row r="306" spans="1:4" ht="13">
      <c r="A306" s="21"/>
      <c r="B306" s="21"/>
      <c r="C306" s="21"/>
      <c r="D306" s="21"/>
    </row>
    <row r="307" spans="1:4" ht="13">
      <c r="A307" s="21"/>
      <c r="B307" s="21"/>
      <c r="C307" s="21"/>
      <c r="D307" s="21"/>
    </row>
    <row r="308" spans="1:4" ht="13">
      <c r="A308" s="21"/>
      <c r="B308" s="21"/>
      <c r="C308" s="21"/>
      <c r="D308" s="21"/>
    </row>
    <row r="309" spans="1:4" ht="13">
      <c r="A309" s="21"/>
      <c r="B309" s="21"/>
      <c r="C309" s="21"/>
      <c r="D309" s="21"/>
    </row>
    <row r="310" spans="1:4" ht="13">
      <c r="A310" s="21"/>
      <c r="B310" s="21"/>
      <c r="C310" s="21"/>
      <c r="D310" s="21"/>
    </row>
    <row r="311" spans="1:4" ht="13">
      <c r="A311" s="21"/>
      <c r="B311" s="21"/>
      <c r="C311" s="21"/>
      <c r="D311" s="21"/>
    </row>
    <row r="312" spans="1:4" ht="13">
      <c r="A312" s="21"/>
      <c r="B312" s="21"/>
      <c r="C312" s="21"/>
      <c r="D312" s="21"/>
    </row>
    <row r="313" spans="1:4" ht="13">
      <c r="A313" s="21"/>
      <c r="B313" s="21"/>
      <c r="C313" s="21"/>
      <c r="D313" s="21"/>
    </row>
    <row r="314" spans="1:4" ht="13">
      <c r="A314" s="21"/>
      <c r="B314" s="21"/>
      <c r="C314" s="21"/>
      <c r="D314" s="21"/>
    </row>
    <row r="315" spans="1:4" ht="13">
      <c r="A315" s="21"/>
      <c r="B315" s="21"/>
      <c r="C315" s="21"/>
      <c r="D315" s="21"/>
    </row>
    <row r="316" spans="1:4" ht="13">
      <c r="A316" s="21"/>
      <c r="B316" s="21"/>
      <c r="C316" s="21"/>
      <c r="D316" s="21"/>
    </row>
    <row r="317" spans="1:4" ht="13">
      <c r="A317" s="21"/>
      <c r="B317" s="21"/>
      <c r="C317" s="21"/>
      <c r="D317" s="21"/>
    </row>
    <row r="318" spans="1:4" ht="13">
      <c r="A318" s="21"/>
      <c r="B318" s="21"/>
      <c r="C318" s="21"/>
      <c r="D318" s="21"/>
    </row>
    <row r="319" spans="1:4" ht="13">
      <c r="A319" s="21"/>
      <c r="B319" s="21"/>
      <c r="C319" s="21"/>
      <c r="D319" s="21"/>
    </row>
    <row r="320" spans="1:4" ht="13">
      <c r="A320" s="21"/>
      <c r="B320" s="21"/>
      <c r="C320" s="21"/>
      <c r="D320" s="21"/>
    </row>
    <row r="321" spans="1:4" ht="13">
      <c r="A321" s="21"/>
      <c r="B321" s="21"/>
      <c r="C321" s="21"/>
      <c r="D321" s="21"/>
    </row>
    <row r="322" spans="1:4" ht="13">
      <c r="A322" s="21"/>
      <c r="B322" s="21"/>
      <c r="C322" s="21"/>
      <c r="D322" s="21"/>
    </row>
    <row r="323" spans="1:4" ht="13">
      <c r="A323" s="21"/>
      <c r="B323" s="21"/>
      <c r="C323" s="21"/>
      <c r="D323" s="21"/>
    </row>
    <row r="324" spans="1:4" ht="13">
      <c r="A324" s="21"/>
      <c r="B324" s="21"/>
      <c r="C324" s="21"/>
      <c r="D324" s="21"/>
    </row>
    <row r="325" spans="1:4" ht="13">
      <c r="A325" s="21"/>
      <c r="B325" s="21"/>
      <c r="C325" s="21"/>
      <c r="D325" s="21"/>
    </row>
    <row r="326" spans="1:4" ht="13">
      <c r="A326" s="21"/>
      <c r="B326" s="21"/>
      <c r="C326" s="21"/>
      <c r="D326" s="21"/>
    </row>
    <row r="327" spans="1:4" ht="13">
      <c r="A327" s="21"/>
      <c r="B327" s="21"/>
      <c r="C327" s="21"/>
      <c r="D327" s="21"/>
    </row>
    <row r="328" spans="1:4" ht="13">
      <c r="A328" s="21"/>
      <c r="B328" s="21"/>
      <c r="C328" s="21"/>
      <c r="D328" s="21"/>
    </row>
    <row r="329" spans="1:4" ht="13">
      <c r="A329" s="21"/>
      <c r="B329" s="21"/>
      <c r="C329" s="21"/>
      <c r="D329" s="21"/>
    </row>
    <row r="330" spans="1:4" ht="13">
      <c r="A330" s="21"/>
      <c r="B330" s="21"/>
      <c r="C330" s="21"/>
      <c r="D330" s="21"/>
    </row>
    <row r="331" spans="1:4" ht="13">
      <c r="A331" s="21"/>
      <c r="B331" s="21"/>
      <c r="C331" s="21"/>
      <c r="D331" s="21"/>
    </row>
    <row r="332" spans="1:4" ht="13">
      <c r="A332" s="21"/>
      <c r="B332" s="21"/>
      <c r="C332" s="21"/>
      <c r="D332" s="21"/>
    </row>
    <row r="333" spans="1:4" ht="13">
      <c r="A333" s="21"/>
      <c r="B333" s="21"/>
      <c r="C333" s="21"/>
      <c r="D333" s="21"/>
    </row>
    <row r="334" spans="1:4" ht="13">
      <c r="A334" s="21"/>
      <c r="B334" s="21"/>
      <c r="C334" s="21"/>
      <c r="D334" s="21"/>
    </row>
    <row r="335" spans="1:4" ht="13">
      <c r="A335" s="21"/>
      <c r="B335" s="21"/>
      <c r="C335" s="21"/>
      <c r="D335" s="21"/>
    </row>
    <row r="336" spans="1:4" ht="13">
      <c r="A336" s="21"/>
      <c r="B336" s="21"/>
      <c r="C336" s="21"/>
      <c r="D336" s="21"/>
    </row>
    <row r="337" spans="1:4" ht="13">
      <c r="A337" s="21"/>
      <c r="B337" s="21"/>
      <c r="C337" s="21"/>
      <c r="D337" s="21"/>
    </row>
    <row r="338" spans="1:4" ht="13">
      <c r="A338" s="21"/>
      <c r="B338" s="21"/>
      <c r="C338" s="21"/>
      <c r="D338" s="21"/>
    </row>
    <row r="339" spans="1:4" ht="13">
      <c r="A339" s="21"/>
      <c r="B339" s="21"/>
      <c r="C339" s="21"/>
      <c r="D339" s="21"/>
    </row>
    <row r="340" spans="1:4" ht="13">
      <c r="A340" s="21"/>
      <c r="B340" s="21"/>
      <c r="C340" s="21"/>
      <c r="D340" s="21"/>
    </row>
    <row r="341" spans="1:4" ht="13">
      <c r="A341" s="21"/>
      <c r="B341" s="21"/>
      <c r="C341" s="21"/>
      <c r="D341" s="21"/>
    </row>
    <row r="342" spans="1:4" ht="13">
      <c r="A342" s="21"/>
      <c r="B342" s="21"/>
      <c r="C342" s="21"/>
      <c r="D342" s="21"/>
    </row>
    <row r="343" spans="1:4" ht="13">
      <c r="A343" s="21"/>
      <c r="B343" s="21"/>
      <c r="C343" s="21"/>
      <c r="D343" s="21"/>
    </row>
    <row r="344" spans="1:4" ht="13">
      <c r="A344" s="21"/>
      <c r="B344" s="21"/>
      <c r="C344" s="21"/>
      <c r="D344" s="21"/>
    </row>
    <row r="345" spans="1:4" ht="13">
      <c r="A345" s="21"/>
      <c r="B345" s="21"/>
      <c r="C345" s="21"/>
      <c r="D345" s="21"/>
    </row>
    <row r="346" spans="1:4" ht="13">
      <c r="A346" s="21"/>
      <c r="B346" s="21"/>
      <c r="C346" s="21"/>
      <c r="D346" s="21"/>
    </row>
    <row r="347" spans="1:4" ht="13">
      <c r="A347" s="21"/>
      <c r="B347" s="21"/>
      <c r="C347" s="21"/>
      <c r="D347" s="21"/>
    </row>
    <row r="348" spans="1:4" ht="13">
      <c r="A348" s="21"/>
      <c r="B348" s="21"/>
      <c r="C348" s="21"/>
      <c r="D348" s="21"/>
    </row>
    <row r="349" spans="1:4" ht="13">
      <c r="A349" s="21"/>
      <c r="B349" s="21"/>
      <c r="C349" s="21"/>
      <c r="D349" s="21"/>
    </row>
    <row r="350" spans="1:4" ht="13">
      <c r="A350" s="21"/>
      <c r="B350" s="21"/>
      <c r="C350" s="21"/>
      <c r="D350" s="21"/>
    </row>
    <row r="351" spans="1:4" ht="13">
      <c r="A351" s="21"/>
      <c r="B351" s="21"/>
      <c r="C351" s="21"/>
      <c r="D351" s="21"/>
    </row>
    <row r="352" spans="1:4" ht="13">
      <c r="A352" s="21"/>
      <c r="B352" s="21"/>
      <c r="C352" s="21"/>
      <c r="D352" s="21"/>
    </row>
    <row r="353" spans="1:4" ht="13">
      <c r="A353" s="21"/>
      <c r="B353" s="21"/>
      <c r="C353" s="21"/>
      <c r="D353" s="21"/>
    </row>
    <row r="354" spans="1:4" ht="13">
      <c r="A354" s="21"/>
      <c r="B354" s="21"/>
      <c r="C354" s="21"/>
      <c r="D354" s="21"/>
    </row>
    <row r="355" spans="1:4" ht="13">
      <c r="A355" s="21"/>
      <c r="B355" s="21"/>
      <c r="C355" s="21"/>
      <c r="D355" s="21"/>
    </row>
    <row r="356" spans="1:4" ht="13">
      <c r="A356" s="21"/>
      <c r="B356" s="21"/>
      <c r="C356" s="21"/>
      <c r="D356" s="21"/>
    </row>
    <row r="357" spans="1:4" ht="13">
      <c r="A357" s="21"/>
      <c r="B357" s="21"/>
      <c r="C357" s="21"/>
      <c r="D357" s="21"/>
    </row>
    <row r="358" spans="1:4" ht="13">
      <c r="A358" s="21"/>
      <c r="B358" s="21"/>
      <c r="C358" s="21"/>
      <c r="D358" s="21"/>
    </row>
    <row r="359" spans="1:4" ht="13">
      <c r="A359" s="21"/>
      <c r="B359" s="21"/>
      <c r="C359" s="21"/>
      <c r="D359" s="21"/>
    </row>
    <row r="360" spans="1:4" ht="13">
      <c r="A360" s="21"/>
      <c r="B360" s="21"/>
      <c r="C360" s="21"/>
      <c r="D360" s="21"/>
    </row>
    <row r="361" spans="1:4" ht="13">
      <c r="A361" s="21"/>
      <c r="B361" s="21"/>
      <c r="C361" s="21"/>
      <c r="D361" s="21"/>
    </row>
    <row r="362" spans="1:4" ht="13">
      <c r="A362" s="21"/>
      <c r="B362" s="21"/>
      <c r="C362" s="21"/>
      <c r="D362" s="21"/>
    </row>
    <row r="363" spans="1:4" ht="13">
      <c r="A363" s="21"/>
      <c r="B363" s="21"/>
      <c r="C363" s="21"/>
      <c r="D363" s="21"/>
    </row>
    <row r="364" spans="1:4" ht="13">
      <c r="A364" s="21"/>
      <c r="B364" s="21"/>
      <c r="C364" s="21"/>
      <c r="D364" s="21"/>
    </row>
    <row r="365" spans="1:4" ht="13">
      <c r="A365" s="21"/>
      <c r="B365" s="21"/>
      <c r="C365" s="21"/>
      <c r="D365" s="21"/>
    </row>
    <row r="366" spans="1:4" ht="13">
      <c r="A366" s="21"/>
      <c r="B366" s="21"/>
      <c r="C366" s="21"/>
      <c r="D366" s="21"/>
    </row>
    <row r="367" spans="1:4" ht="13">
      <c r="A367" s="21"/>
      <c r="B367" s="21"/>
      <c r="C367" s="21"/>
      <c r="D367" s="21"/>
    </row>
    <row r="368" spans="1:4" ht="13">
      <c r="A368" s="21"/>
      <c r="B368" s="21"/>
      <c r="C368" s="21"/>
      <c r="D368" s="21"/>
    </row>
    <row r="369" spans="1:4" ht="13">
      <c r="A369" s="21"/>
      <c r="B369" s="21"/>
      <c r="C369" s="21"/>
      <c r="D369" s="21"/>
    </row>
    <row r="370" spans="1:4" ht="13">
      <c r="A370" s="21"/>
      <c r="B370" s="21"/>
      <c r="C370" s="21"/>
      <c r="D370" s="21"/>
    </row>
    <row r="371" spans="1:4" ht="13">
      <c r="A371" s="21"/>
      <c r="B371" s="21"/>
      <c r="C371" s="21"/>
      <c r="D371" s="21"/>
    </row>
    <row r="372" spans="1:4" ht="13">
      <c r="A372" s="21"/>
      <c r="B372" s="21"/>
      <c r="C372" s="21"/>
      <c r="D372" s="21"/>
    </row>
    <row r="373" spans="1:4" ht="13">
      <c r="A373" s="21"/>
      <c r="B373" s="21"/>
      <c r="C373" s="21"/>
      <c r="D373" s="21"/>
    </row>
    <row r="374" spans="1:4" ht="13">
      <c r="A374" s="21"/>
      <c r="B374" s="21"/>
      <c r="C374" s="21"/>
      <c r="D374" s="21"/>
    </row>
    <row r="375" spans="1:4" ht="13">
      <c r="A375" s="21"/>
      <c r="B375" s="21"/>
      <c r="C375" s="21"/>
      <c r="D375" s="21"/>
    </row>
    <row r="376" spans="1:4" ht="13">
      <c r="A376" s="21"/>
      <c r="B376" s="21"/>
      <c r="C376" s="21"/>
      <c r="D376" s="21"/>
    </row>
    <row r="377" spans="1:4" ht="13">
      <c r="A377" s="21"/>
      <c r="B377" s="21"/>
      <c r="C377" s="21"/>
      <c r="D377" s="21"/>
    </row>
    <row r="378" spans="1:4" ht="13">
      <c r="A378" s="21"/>
      <c r="B378" s="21"/>
      <c r="C378" s="21"/>
      <c r="D378" s="21"/>
    </row>
    <row r="379" spans="1:4" ht="13">
      <c r="A379" s="21"/>
      <c r="B379" s="21"/>
      <c r="C379" s="21"/>
      <c r="D379" s="21"/>
    </row>
    <row r="380" spans="1:4" ht="13">
      <c r="A380" s="21"/>
      <c r="B380" s="21"/>
      <c r="C380" s="21"/>
      <c r="D380" s="21"/>
    </row>
    <row r="381" spans="1:4" ht="13">
      <c r="A381" s="21"/>
      <c r="B381" s="21"/>
      <c r="C381" s="21"/>
      <c r="D381" s="21"/>
    </row>
    <row r="382" spans="1:4" ht="13">
      <c r="A382" s="21"/>
      <c r="B382" s="21"/>
      <c r="C382" s="21"/>
      <c r="D382" s="21"/>
    </row>
    <row r="383" spans="1:4" ht="13">
      <c r="A383" s="21"/>
      <c r="B383" s="21"/>
      <c r="C383" s="21"/>
      <c r="D383" s="21"/>
    </row>
    <row r="384" spans="1:4" ht="13">
      <c r="A384" s="21"/>
      <c r="B384" s="21"/>
      <c r="C384" s="21"/>
      <c r="D384" s="21"/>
    </row>
    <row r="385" spans="1:4" ht="13">
      <c r="A385" s="21"/>
      <c r="B385" s="21"/>
      <c r="C385" s="21"/>
      <c r="D385" s="21"/>
    </row>
    <row r="386" spans="1:4" ht="13">
      <c r="A386" s="21"/>
      <c r="B386" s="21"/>
      <c r="C386" s="21"/>
      <c r="D386" s="21"/>
    </row>
    <row r="387" spans="1:4" ht="13">
      <c r="A387" s="21"/>
      <c r="B387" s="21"/>
      <c r="C387" s="21"/>
      <c r="D387" s="21"/>
    </row>
    <row r="388" spans="1:4" ht="13">
      <c r="A388" s="21"/>
      <c r="B388" s="21"/>
      <c r="C388" s="21"/>
      <c r="D388" s="21"/>
    </row>
    <row r="389" spans="1:4" ht="13">
      <c r="A389" s="21"/>
      <c r="B389" s="21"/>
      <c r="C389" s="21"/>
      <c r="D389" s="21"/>
    </row>
    <row r="390" spans="1:4" ht="13">
      <c r="A390" s="21"/>
      <c r="B390" s="21"/>
      <c r="C390" s="21"/>
      <c r="D390" s="21"/>
    </row>
    <row r="391" spans="1:4" ht="13">
      <c r="A391" s="21"/>
      <c r="B391" s="21"/>
      <c r="C391" s="21"/>
      <c r="D391" s="21"/>
    </row>
    <row r="392" spans="1:4" ht="13">
      <c r="A392" s="21"/>
      <c r="B392" s="21"/>
      <c r="C392" s="21"/>
      <c r="D392" s="21"/>
    </row>
    <row r="393" spans="1:4" ht="13">
      <c r="A393" s="21"/>
      <c r="B393" s="21"/>
      <c r="C393" s="21"/>
      <c r="D393" s="21"/>
    </row>
    <row r="394" spans="1:4" ht="13">
      <c r="A394" s="21"/>
      <c r="B394" s="21"/>
      <c r="C394" s="21"/>
      <c r="D394" s="21"/>
    </row>
    <row r="395" spans="1:4" ht="13">
      <c r="A395" s="21"/>
      <c r="B395" s="21"/>
      <c r="C395" s="21"/>
      <c r="D395" s="21"/>
    </row>
    <row r="396" spans="1:4" ht="13">
      <c r="A396" s="21"/>
      <c r="B396" s="21"/>
      <c r="C396" s="21"/>
      <c r="D396" s="21"/>
    </row>
    <row r="397" spans="1:4" ht="13">
      <c r="A397" s="21"/>
      <c r="B397" s="21"/>
      <c r="C397" s="21"/>
      <c r="D397" s="21"/>
    </row>
    <row r="398" spans="1:4" ht="13">
      <c r="A398" s="21"/>
      <c r="B398" s="21"/>
      <c r="C398" s="21"/>
      <c r="D398" s="21"/>
    </row>
    <row r="399" spans="1:4" ht="13">
      <c r="A399" s="21"/>
      <c r="B399" s="21"/>
      <c r="C399" s="21"/>
      <c r="D399" s="21"/>
    </row>
    <row r="400" spans="1:4" ht="13">
      <c r="A400" s="21"/>
      <c r="B400" s="21"/>
      <c r="C400" s="21"/>
      <c r="D400" s="21"/>
    </row>
    <row r="401" spans="1:4" ht="13">
      <c r="A401" s="21"/>
      <c r="B401" s="21"/>
      <c r="C401" s="21"/>
      <c r="D401" s="21"/>
    </row>
    <row r="402" spans="1:4" ht="13">
      <c r="A402" s="21"/>
      <c r="B402" s="21"/>
      <c r="C402" s="21"/>
      <c r="D402" s="21"/>
    </row>
    <row r="403" spans="1:4" ht="13">
      <c r="A403" s="21"/>
      <c r="B403" s="21"/>
      <c r="C403" s="21"/>
      <c r="D403" s="21"/>
    </row>
    <row r="404" spans="1:4" ht="13">
      <c r="A404" s="21"/>
      <c r="B404" s="21"/>
      <c r="C404" s="21"/>
      <c r="D404" s="21"/>
    </row>
    <row r="405" spans="1:4" ht="13">
      <c r="A405" s="21"/>
      <c r="B405" s="21"/>
      <c r="C405" s="21"/>
      <c r="D405" s="21"/>
    </row>
    <row r="406" spans="1:4" ht="13">
      <c r="A406" s="21"/>
      <c r="B406" s="21"/>
      <c r="C406" s="21"/>
      <c r="D406" s="21"/>
    </row>
    <row r="407" spans="1:4" ht="13">
      <c r="A407" s="21"/>
      <c r="B407" s="21"/>
      <c r="C407" s="21"/>
      <c r="D407" s="21"/>
    </row>
    <row r="408" spans="1:4" ht="13">
      <c r="A408" s="21"/>
      <c r="B408" s="21"/>
      <c r="C408" s="21"/>
      <c r="D408" s="21"/>
    </row>
    <row r="409" spans="1:4" ht="13">
      <c r="A409" s="21"/>
      <c r="B409" s="21"/>
      <c r="C409" s="21"/>
      <c r="D409" s="21"/>
    </row>
    <row r="410" spans="1:4" ht="13">
      <c r="A410" s="21"/>
      <c r="B410" s="21"/>
      <c r="C410" s="21"/>
      <c r="D410" s="21"/>
    </row>
    <row r="411" spans="1:4" ht="13">
      <c r="A411" s="21"/>
      <c r="B411" s="21"/>
      <c r="C411" s="21"/>
      <c r="D411" s="21"/>
    </row>
    <row r="412" spans="1:4" ht="13">
      <c r="A412" s="21"/>
      <c r="B412" s="21"/>
      <c r="C412" s="21"/>
      <c r="D412" s="21"/>
    </row>
    <row r="413" spans="1:4" ht="13">
      <c r="A413" s="21"/>
      <c r="B413" s="21"/>
      <c r="C413" s="21"/>
      <c r="D413" s="21"/>
    </row>
    <row r="414" spans="1:4" ht="13">
      <c r="A414" s="21"/>
      <c r="B414" s="21"/>
      <c r="C414" s="21"/>
      <c r="D414" s="21"/>
    </row>
    <row r="415" spans="1:4" ht="13">
      <c r="A415" s="21"/>
      <c r="B415" s="21"/>
      <c r="C415" s="21"/>
      <c r="D415" s="21"/>
    </row>
    <row r="416" spans="1:4" ht="13">
      <c r="A416" s="21"/>
      <c r="B416" s="21"/>
      <c r="C416" s="21"/>
      <c r="D416" s="21"/>
    </row>
    <row r="417" spans="1:4" ht="13">
      <c r="A417" s="21"/>
      <c r="B417" s="21"/>
      <c r="C417" s="21"/>
      <c r="D417" s="21"/>
    </row>
    <row r="418" spans="1:4" ht="13">
      <c r="A418" s="21"/>
      <c r="B418" s="21"/>
      <c r="C418" s="21"/>
      <c r="D418" s="21"/>
    </row>
    <row r="419" spans="1:4" ht="13">
      <c r="A419" s="21"/>
      <c r="B419" s="21"/>
      <c r="C419" s="21"/>
      <c r="D419" s="21"/>
    </row>
    <row r="420" spans="1:4" ht="13">
      <c r="A420" s="21"/>
      <c r="B420" s="21"/>
      <c r="C420" s="21"/>
      <c r="D420" s="21"/>
    </row>
    <row r="421" spans="1:4" ht="13">
      <c r="A421" s="21"/>
      <c r="B421" s="21"/>
      <c r="C421" s="21"/>
      <c r="D421" s="21"/>
    </row>
    <row r="422" spans="1:4" ht="13">
      <c r="A422" s="21"/>
      <c r="B422" s="21"/>
      <c r="C422" s="21"/>
      <c r="D422" s="21"/>
    </row>
    <row r="423" spans="1:4" ht="13">
      <c r="A423" s="21"/>
      <c r="B423" s="21"/>
      <c r="C423" s="21"/>
      <c r="D423" s="21"/>
    </row>
    <row r="424" spans="1:4" ht="13">
      <c r="A424" s="21"/>
      <c r="B424" s="21"/>
      <c r="C424" s="21"/>
      <c r="D424" s="21"/>
    </row>
    <row r="425" spans="1:4" ht="13">
      <c r="A425" s="21"/>
      <c r="B425" s="21"/>
      <c r="C425" s="21"/>
      <c r="D425" s="21"/>
    </row>
    <row r="426" spans="1:4" ht="13">
      <c r="A426" s="21"/>
      <c r="B426" s="21"/>
      <c r="C426" s="21"/>
      <c r="D426" s="21"/>
    </row>
    <row r="427" spans="1:4" ht="13">
      <c r="A427" s="21"/>
      <c r="B427" s="21"/>
      <c r="C427" s="21"/>
      <c r="D427" s="21"/>
    </row>
    <row r="428" spans="1:4" ht="13">
      <c r="A428" s="21"/>
      <c r="B428" s="21"/>
      <c r="C428" s="21"/>
      <c r="D428" s="21"/>
    </row>
    <row r="429" spans="1:4" ht="13">
      <c r="A429" s="21"/>
      <c r="B429" s="21"/>
      <c r="C429" s="21"/>
      <c r="D429" s="21"/>
    </row>
    <row r="430" spans="1:4" ht="13">
      <c r="A430" s="21"/>
      <c r="B430" s="21"/>
      <c r="C430" s="21"/>
      <c r="D430" s="21"/>
    </row>
    <row r="431" spans="1:4" ht="13">
      <c r="A431" s="21"/>
      <c r="B431" s="21"/>
      <c r="C431" s="21"/>
      <c r="D431" s="21"/>
    </row>
    <row r="432" spans="1:4" ht="13">
      <c r="A432" s="21"/>
      <c r="B432" s="21"/>
      <c r="C432" s="21"/>
      <c r="D432" s="21"/>
    </row>
    <row r="433" spans="1:4" ht="13">
      <c r="A433" s="21"/>
      <c r="B433" s="21"/>
      <c r="C433" s="21"/>
      <c r="D433" s="21"/>
    </row>
    <row r="434" spans="1:4" ht="13">
      <c r="A434" s="21"/>
      <c r="B434" s="21"/>
      <c r="C434" s="21"/>
      <c r="D434" s="21"/>
    </row>
    <row r="435" spans="1:4" ht="13">
      <c r="A435" s="21"/>
      <c r="B435" s="21"/>
      <c r="C435" s="21"/>
      <c r="D435" s="21"/>
    </row>
    <row r="436" spans="1:4" ht="13">
      <c r="A436" s="21"/>
      <c r="B436" s="21"/>
      <c r="C436" s="21"/>
      <c r="D436" s="21"/>
    </row>
    <row r="437" spans="1:4" ht="13">
      <c r="A437" s="21"/>
      <c r="B437" s="21"/>
      <c r="C437" s="21"/>
      <c r="D437" s="21"/>
    </row>
    <row r="438" spans="1:4" ht="13">
      <c r="A438" s="21"/>
      <c r="B438" s="21"/>
      <c r="C438" s="21"/>
      <c r="D438" s="21"/>
    </row>
    <row r="439" spans="1:4" ht="13">
      <c r="A439" s="21"/>
      <c r="B439" s="21"/>
      <c r="C439" s="21"/>
      <c r="D439" s="21"/>
    </row>
    <row r="440" spans="1:4" ht="13">
      <c r="A440" s="21"/>
      <c r="B440" s="21"/>
      <c r="C440" s="21"/>
      <c r="D440" s="21"/>
    </row>
    <row r="441" spans="1:4" ht="13">
      <c r="A441" s="21"/>
      <c r="B441" s="21"/>
      <c r="C441" s="21"/>
      <c r="D441" s="21"/>
    </row>
    <row r="442" spans="1:4" ht="13">
      <c r="A442" s="21"/>
      <c r="B442" s="21"/>
      <c r="C442" s="21"/>
      <c r="D442" s="21"/>
    </row>
    <row r="443" spans="1:4" ht="13">
      <c r="A443" s="21"/>
      <c r="B443" s="21"/>
      <c r="C443" s="21"/>
      <c r="D443" s="21"/>
    </row>
    <row r="444" spans="1:4" ht="13">
      <c r="A444" s="21"/>
      <c r="B444" s="21"/>
      <c r="C444" s="21"/>
      <c r="D444" s="21"/>
    </row>
    <row r="445" spans="1:4" ht="13">
      <c r="A445" s="21"/>
      <c r="B445" s="21"/>
      <c r="C445" s="21"/>
      <c r="D445" s="21"/>
    </row>
    <row r="446" spans="1:4" ht="13">
      <c r="A446" s="21"/>
      <c r="B446" s="21"/>
      <c r="C446" s="21"/>
      <c r="D446" s="21"/>
    </row>
    <row r="447" spans="1:4" ht="13">
      <c r="A447" s="21"/>
      <c r="B447" s="21"/>
      <c r="C447" s="21"/>
      <c r="D447" s="21"/>
    </row>
    <row r="448" spans="1:4" ht="13">
      <c r="A448" s="21"/>
      <c r="B448" s="21"/>
      <c r="C448" s="21"/>
      <c r="D448" s="21"/>
    </row>
    <row r="449" spans="1:4" ht="13">
      <c r="A449" s="21"/>
      <c r="B449" s="21"/>
      <c r="C449" s="21"/>
      <c r="D449" s="21"/>
    </row>
    <row r="450" spans="1:4" ht="13">
      <c r="A450" s="21"/>
      <c r="B450" s="21"/>
      <c r="C450" s="21"/>
      <c r="D450" s="21"/>
    </row>
    <row r="451" spans="1:4" ht="13">
      <c r="A451" s="21"/>
      <c r="B451" s="21"/>
      <c r="C451" s="21"/>
      <c r="D451" s="21"/>
    </row>
    <row r="452" spans="1:4" ht="13">
      <c r="A452" s="21"/>
      <c r="B452" s="21"/>
      <c r="C452" s="21"/>
      <c r="D452" s="21"/>
    </row>
    <row r="453" spans="1:4" ht="13">
      <c r="A453" s="21"/>
      <c r="B453" s="21"/>
      <c r="C453" s="21"/>
      <c r="D453" s="21"/>
    </row>
    <row r="454" spans="1:4" ht="13">
      <c r="A454" s="21"/>
      <c r="B454" s="21"/>
      <c r="C454" s="21"/>
      <c r="D454" s="21"/>
    </row>
    <row r="455" spans="1:4" ht="13">
      <c r="A455" s="21"/>
      <c r="B455" s="21"/>
      <c r="C455" s="21"/>
      <c r="D455" s="21"/>
    </row>
    <row r="456" spans="1:4" ht="13">
      <c r="A456" s="21"/>
      <c r="B456" s="21"/>
      <c r="C456" s="21"/>
      <c r="D456" s="21"/>
    </row>
    <row r="457" spans="1:4" ht="13">
      <c r="A457" s="21"/>
      <c r="B457" s="21"/>
      <c r="C457" s="21"/>
      <c r="D457" s="21"/>
    </row>
    <row r="458" spans="1:4" ht="13">
      <c r="A458" s="21"/>
      <c r="B458" s="21"/>
      <c r="C458" s="21"/>
      <c r="D458" s="21"/>
    </row>
    <row r="459" spans="1:4" ht="13">
      <c r="A459" s="21"/>
      <c r="B459" s="21"/>
      <c r="C459" s="21"/>
      <c r="D459" s="21"/>
    </row>
    <row r="460" spans="1:4" ht="13">
      <c r="A460" s="21"/>
      <c r="B460" s="21"/>
      <c r="C460" s="21"/>
      <c r="D460" s="21"/>
    </row>
    <row r="461" spans="1:4" ht="13">
      <c r="A461" s="21"/>
      <c r="B461" s="21"/>
      <c r="C461" s="21"/>
      <c r="D461" s="21"/>
    </row>
    <row r="462" spans="1:4" ht="13">
      <c r="A462" s="21"/>
      <c r="B462" s="21"/>
      <c r="C462" s="21"/>
      <c r="D462" s="21"/>
    </row>
    <row r="463" spans="1:4" ht="13">
      <c r="A463" s="21"/>
      <c r="B463" s="21"/>
      <c r="C463" s="21"/>
      <c r="D463" s="21"/>
    </row>
    <row r="464" spans="1:4" ht="13">
      <c r="A464" s="21"/>
      <c r="B464" s="21"/>
      <c r="C464" s="21"/>
      <c r="D464" s="21"/>
    </row>
    <row r="465" spans="1:4" ht="13">
      <c r="A465" s="21"/>
      <c r="B465" s="21"/>
      <c r="C465" s="21"/>
      <c r="D465" s="21"/>
    </row>
    <row r="466" spans="1:4" ht="13">
      <c r="A466" s="21"/>
      <c r="B466" s="21"/>
      <c r="C466" s="21"/>
      <c r="D466" s="21"/>
    </row>
    <row r="467" spans="1:4" ht="13">
      <c r="A467" s="21"/>
      <c r="B467" s="21"/>
      <c r="C467" s="21"/>
      <c r="D467" s="21"/>
    </row>
    <row r="468" spans="1:4" ht="13">
      <c r="A468" s="21"/>
      <c r="B468" s="21"/>
      <c r="C468" s="21"/>
      <c r="D468" s="21"/>
    </row>
    <row r="469" spans="1:4" ht="13">
      <c r="A469" s="21"/>
      <c r="B469" s="21"/>
      <c r="C469" s="21"/>
      <c r="D469" s="21"/>
    </row>
    <row r="470" spans="1:4" ht="13">
      <c r="A470" s="21"/>
      <c r="B470" s="21"/>
      <c r="C470" s="21"/>
      <c r="D470" s="21"/>
    </row>
    <row r="471" spans="1:4" ht="13">
      <c r="A471" s="21"/>
      <c r="B471" s="21"/>
      <c r="C471" s="21"/>
      <c r="D471" s="21"/>
    </row>
    <row r="472" spans="1:4" ht="13">
      <c r="A472" s="21"/>
      <c r="B472" s="21"/>
      <c r="C472" s="21"/>
      <c r="D472" s="21"/>
    </row>
    <row r="473" spans="1:4" ht="13">
      <c r="A473" s="21"/>
      <c r="B473" s="21"/>
      <c r="C473" s="21"/>
      <c r="D473" s="21"/>
    </row>
    <row r="474" spans="1:4" ht="13">
      <c r="A474" s="21"/>
      <c r="B474" s="21"/>
      <c r="C474" s="21"/>
      <c r="D474" s="21"/>
    </row>
    <row r="475" spans="1:4" ht="13">
      <c r="A475" s="21"/>
      <c r="B475" s="21"/>
      <c r="C475" s="21"/>
      <c r="D475" s="21"/>
    </row>
    <row r="476" spans="1:4" ht="13">
      <c r="A476" s="21"/>
      <c r="B476" s="21"/>
      <c r="C476" s="21"/>
      <c r="D476" s="21"/>
    </row>
    <row r="477" spans="1:4" ht="13">
      <c r="A477" s="21"/>
      <c r="B477" s="21"/>
      <c r="C477" s="21"/>
      <c r="D477" s="21"/>
    </row>
    <row r="478" spans="1:4" ht="13">
      <c r="A478" s="21"/>
      <c r="B478" s="21"/>
      <c r="C478" s="21"/>
      <c r="D478" s="21"/>
    </row>
    <row r="479" spans="1:4" ht="13">
      <c r="A479" s="21"/>
      <c r="B479" s="21"/>
      <c r="C479" s="21"/>
      <c r="D479" s="21"/>
    </row>
    <row r="480" spans="1:4" ht="13">
      <c r="A480" s="21"/>
      <c r="B480" s="21"/>
      <c r="C480" s="21"/>
      <c r="D480" s="21"/>
    </row>
    <row r="481" spans="1:4" ht="13">
      <c r="A481" s="21"/>
      <c r="B481" s="21"/>
      <c r="C481" s="21"/>
      <c r="D481" s="21"/>
    </row>
    <row r="482" spans="1:4" ht="13">
      <c r="A482" s="21"/>
      <c r="B482" s="21"/>
      <c r="C482" s="21"/>
      <c r="D482" s="21"/>
    </row>
    <row r="483" spans="1:4" ht="13">
      <c r="A483" s="21"/>
      <c r="B483" s="21"/>
      <c r="C483" s="21"/>
      <c r="D483" s="21"/>
    </row>
    <row r="484" spans="1:4" ht="13">
      <c r="A484" s="21"/>
      <c r="B484" s="21"/>
      <c r="C484" s="21"/>
      <c r="D484" s="21"/>
    </row>
    <row r="485" spans="1:4" ht="13">
      <c r="A485" s="21"/>
      <c r="B485" s="21"/>
      <c r="C485" s="21"/>
      <c r="D485" s="21"/>
    </row>
    <row r="486" spans="1:4" ht="13">
      <c r="A486" s="21"/>
      <c r="B486" s="21"/>
      <c r="C486" s="21"/>
      <c r="D486" s="21"/>
    </row>
    <row r="487" spans="1:4" ht="13">
      <c r="A487" s="21"/>
      <c r="B487" s="21"/>
      <c r="C487" s="21"/>
      <c r="D487" s="21"/>
    </row>
    <row r="488" spans="1:4" ht="13">
      <c r="A488" s="21"/>
      <c r="B488" s="21"/>
      <c r="C488" s="21"/>
      <c r="D488" s="21"/>
    </row>
    <row r="489" spans="1:4" ht="13">
      <c r="A489" s="21"/>
      <c r="B489" s="21"/>
      <c r="C489" s="21"/>
      <c r="D489" s="21"/>
    </row>
    <row r="490" spans="1:4" ht="13">
      <c r="A490" s="21"/>
      <c r="B490" s="21"/>
      <c r="C490" s="21"/>
      <c r="D490" s="21"/>
    </row>
    <row r="491" spans="1:4" ht="13">
      <c r="A491" s="21"/>
      <c r="B491" s="21"/>
      <c r="C491" s="21"/>
      <c r="D491" s="21"/>
    </row>
    <row r="492" spans="1:4" ht="13">
      <c r="A492" s="21"/>
      <c r="B492" s="21"/>
      <c r="C492" s="21"/>
      <c r="D492" s="21"/>
    </row>
    <row r="493" spans="1:4" ht="13">
      <c r="A493" s="21"/>
      <c r="B493" s="21"/>
      <c r="C493" s="21"/>
      <c r="D493" s="21"/>
    </row>
    <row r="494" spans="1:4" ht="13">
      <c r="A494" s="21"/>
      <c r="B494" s="21"/>
      <c r="C494" s="21"/>
      <c r="D494" s="21"/>
    </row>
    <row r="495" spans="1:4" ht="13">
      <c r="A495" s="21"/>
      <c r="B495" s="21"/>
      <c r="C495" s="21"/>
      <c r="D495" s="21"/>
    </row>
    <row r="496" spans="1:4" ht="13">
      <c r="A496" s="21"/>
      <c r="B496" s="21"/>
      <c r="C496" s="21"/>
      <c r="D496" s="21"/>
    </row>
    <row r="497" spans="1:4" ht="13">
      <c r="A497" s="21"/>
      <c r="B497" s="21"/>
      <c r="C497" s="21"/>
      <c r="D497" s="21"/>
    </row>
    <row r="498" spans="1:4" ht="13">
      <c r="A498" s="21"/>
      <c r="B498" s="21"/>
      <c r="C498" s="21"/>
      <c r="D498" s="21"/>
    </row>
    <row r="499" spans="1:4" ht="13">
      <c r="A499" s="21"/>
      <c r="B499" s="21"/>
      <c r="C499" s="21"/>
      <c r="D499" s="21"/>
    </row>
    <row r="500" spans="1:4" ht="13">
      <c r="A500" s="21"/>
      <c r="B500" s="21"/>
      <c r="C500" s="21"/>
      <c r="D500" s="21"/>
    </row>
    <row r="501" spans="1:4" ht="13">
      <c r="A501" s="21"/>
      <c r="B501" s="21"/>
      <c r="C501" s="21"/>
      <c r="D501" s="21"/>
    </row>
    <row r="502" spans="1:4" ht="13">
      <c r="A502" s="21"/>
      <c r="B502" s="21"/>
      <c r="C502" s="21"/>
      <c r="D502" s="21"/>
    </row>
    <row r="503" spans="1:4" ht="13">
      <c r="A503" s="21"/>
      <c r="B503" s="21"/>
      <c r="C503" s="21"/>
      <c r="D503" s="21"/>
    </row>
    <row r="504" spans="1:4" ht="13">
      <c r="A504" s="21"/>
      <c r="B504" s="21"/>
      <c r="C504" s="21"/>
      <c r="D504" s="21"/>
    </row>
    <row r="505" spans="1:4" ht="13">
      <c r="A505" s="21"/>
      <c r="B505" s="21"/>
      <c r="C505" s="21"/>
      <c r="D505" s="21"/>
    </row>
    <row r="506" spans="1:4" ht="13">
      <c r="A506" s="21"/>
      <c r="B506" s="21"/>
      <c r="C506" s="21"/>
      <c r="D506" s="21"/>
    </row>
    <row r="507" spans="1:4" ht="13">
      <c r="A507" s="21"/>
      <c r="B507" s="21"/>
      <c r="C507" s="21"/>
      <c r="D507" s="21"/>
    </row>
    <row r="508" spans="1:4" ht="13">
      <c r="A508" s="21"/>
      <c r="B508" s="21"/>
      <c r="C508" s="21"/>
      <c r="D508" s="21"/>
    </row>
    <row r="509" spans="1:4" ht="13">
      <c r="A509" s="21"/>
      <c r="B509" s="21"/>
      <c r="C509" s="21"/>
      <c r="D509" s="21"/>
    </row>
    <row r="510" spans="1:4" ht="13">
      <c r="A510" s="21"/>
      <c r="B510" s="21"/>
      <c r="C510" s="21"/>
      <c r="D510" s="21"/>
    </row>
    <row r="511" spans="1:4" ht="13">
      <c r="A511" s="21"/>
      <c r="B511" s="21"/>
      <c r="C511" s="21"/>
      <c r="D511" s="21"/>
    </row>
    <row r="512" spans="1:4" ht="13">
      <c r="A512" s="21"/>
      <c r="B512" s="21"/>
      <c r="C512" s="21"/>
      <c r="D512" s="21"/>
    </row>
    <row r="513" spans="1:4" ht="13">
      <c r="A513" s="21"/>
      <c r="B513" s="21"/>
      <c r="C513" s="21"/>
      <c r="D513" s="21"/>
    </row>
    <row r="514" spans="1:4" ht="13">
      <c r="A514" s="21"/>
      <c r="B514" s="21"/>
      <c r="C514" s="21"/>
      <c r="D514" s="21"/>
    </row>
    <row r="515" spans="1:4" ht="13">
      <c r="A515" s="21"/>
      <c r="B515" s="21"/>
      <c r="C515" s="21"/>
      <c r="D515" s="21"/>
    </row>
    <row r="516" spans="1:4" ht="13">
      <c r="A516" s="21"/>
      <c r="B516" s="21"/>
      <c r="C516" s="21"/>
      <c r="D516" s="21"/>
    </row>
    <row r="517" spans="1:4" ht="13">
      <c r="A517" s="21"/>
      <c r="B517" s="21"/>
      <c r="C517" s="21"/>
      <c r="D517" s="21"/>
    </row>
    <row r="518" spans="1:4" ht="13">
      <c r="A518" s="21"/>
      <c r="B518" s="21"/>
      <c r="C518" s="21"/>
      <c r="D518" s="21"/>
    </row>
    <row r="519" spans="1:4" ht="13">
      <c r="A519" s="21"/>
      <c r="B519" s="21"/>
      <c r="C519" s="21"/>
      <c r="D519" s="21"/>
    </row>
    <row r="520" spans="1:4" ht="13">
      <c r="A520" s="21"/>
      <c r="B520" s="21"/>
      <c r="C520" s="21"/>
      <c r="D520" s="21"/>
    </row>
    <row r="521" spans="1:4" ht="13">
      <c r="A521" s="21"/>
      <c r="B521" s="21"/>
      <c r="C521" s="21"/>
      <c r="D521" s="21"/>
    </row>
    <row r="522" spans="1:4" ht="13">
      <c r="A522" s="21"/>
      <c r="B522" s="21"/>
      <c r="C522" s="21"/>
      <c r="D522" s="21"/>
    </row>
    <row r="523" spans="1:4" ht="13">
      <c r="A523" s="21"/>
      <c r="B523" s="21"/>
      <c r="C523" s="21"/>
      <c r="D523" s="21"/>
    </row>
    <row r="524" spans="1:4" ht="13">
      <c r="A524" s="21"/>
      <c r="B524" s="21"/>
      <c r="C524" s="21"/>
      <c r="D524" s="21"/>
    </row>
    <row r="525" spans="1:4" ht="13">
      <c r="A525" s="21"/>
      <c r="B525" s="21"/>
      <c r="C525" s="21"/>
      <c r="D525" s="21"/>
    </row>
    <row r="526" spans="1:4" ht="13">
      <c r="A526" s="21"/>
      <c r="B526" s="21"/>
      <c r="C526" s="21"/>
      <c r="D526" s="21"/>
    </row>
    <row r="527" spans="1:4" ht="13">
      <c r="A527" s="21"/>
      <c r="B527" s="21"/>
      <c r="C527" s="21"/>
      <c r="D527" s="21"/>
    </row>
    <row r="528" spans="1:4" ht="13">
      <c r="A528" s="21"/>
      <c r="B528" s="21"/>
      <c r="C528" s="21"/>
      <c r="D528" s="21"/>
    </row>
    <row r="529" spans="1:4" ht="13">
      <c r="A529" s="21"/>
      <c r="B529" s="21"/>
      <c r="C529" s="21"/>
      <c r="D529" s="21"/>
    </row>
    <row r="530" spans="1:4" ht="13">
      <c r="A530" s="21"/>
      <c r="B530" s="21"/>
      <c r="C530" s="21"/>
      <c r="D530" s="21"/>
    </row>
    <row r="531" spans="1:4" ht="13">
      <c r="A531" s="21"/>
      <c r="B531" s="21"/>
      <c r="C531" s="21"/>
      <c r="D531" s="21"/>
    </row>
    <row r="532" spans="1:4" ht="13">
      <c r="A532" s="21"/>
      <c r="B532" s="21"/>
      <c r="C532" s="21"/>
      <c r="D532" s="21"/>
    </row>
    <row r="533" spans="1:4" ht="13">
      <c r="A533" s="21"/>
      <c r="B533" s="21"/>
      <c r="C533" s="21"/>
      <c r="D533" s="21"/>
    </row>
    <row r="534" spans="1:4" ht="13">
      <c r="A534" s="21"/>
      <c r="B534" s="21"/>
      <c r="C534" s="21"/>
      <c r="D534" s="21"/>
    </row>
    <row r="535" spans="1:4" ht="13">
      <c r="A535" s="21"/>
      <c r="B535" s="21"/>
      <c r="C535" s="21"/>
      <c r="D535" s="21"/>
    </row>
    <row r="536" spans="1:4" ht="13">
      <c r="A536" s="21"/>
      <c r="B536" s="21"/>
      <c r="C536" s="21"/>
      <c r="D536" s="21"/>
    </row>
    <row r="537" spans="1:4" ht="13">
      <c r="A537" s="21"/>
      <c r="B537" s="21"/>
      <c r="C537" s="21"/>
      <c r="D537" s="21"/>
    </row>
    <row r="538" spans="1:4" ht="13">
      <c r="A538" s="21"/>
      <c r="B538" s="21"/>
      <c r="C538" s="21"/>
      <c r="D538" s="21"/>
    </row>
    <row r="539" spans="1:4" ht="13">
      <c r="A539" s="21"/>
      <c r="B539" s="21"/>
      <c r="C539" s="21"/>
      <c r="D539" s="21"/>
    </row>
    <row r="540" spans="1:4" ht="13">
      <c r="A540" s="21"/>
      <c r="B540" s="21"/>
      <c r="C540" s="21"/>
      <c r="D540" s="21"/>
    </row>
    <row r="541" spans="1:4" ht="13">
      <c r="A541" s="21"/>
      <c r="B541" s="21"/>
      <c r="C541" s="21"/>
      <c r="D541" s="21"/>
    </row>
    <row r="542" spans="1:4" ht="13">
      <c r="A542" s="21"/>
      <c r="B542" s="21"/>
      <c r="C542" s="21"/>
      <c r="D542" s="21"/>
    </row>
    <row r="543" spans="1:4" ht="13">
      <c r="A543" s="21"/>
      <c r="B543" s="21"/>
      <c r="C543" s="21"/>
      <c r="D543" s="21"/>
    </row>
    <row r="544" spans="1:4" ht="13">
      <c r="A544" s="21"/>
      <c r="B544" s="21"/>
      <c r="C544" s="21"/>
      <c r="D544" s="21"/>
    </row>
    <row r="545" spans="1:4" ht="13">
      <c r="A545" s="21"/>
      <c r="B545" s="21"/>
      <c r="C545" s="21"/>
      <c r="D545" s="21"/>
    </row>
    <row r="546" spans="1:4" ht="13">
      <c r="A546" s="21"/>
      <c r="B546" s="21"/>
      <c r="C546" s="21"/>
      <c r="D546" s="21"/>
    </row>
    <row r="547" spans="1:4" ht="13">
      <c r="A547" s="21"/>
      <c r="B547" s="21"/>
      <c r="C547" s="21"/>
      <c r="D547" s="21"/>
    </row>
    <row r="548" spans="1:4" ht="13">
      <c r="A548" s="21"/>
      <c r="B548" s="21"/>
      <c r="C548" s="21"/>
      <c r="D548" s="21"/>
    </row>
    <row r="549" spans="1:4" ht="13">
      <c r="A549" s="21"/>
      <c r="B549" s="21"/>
      <c r="C549" s="21"/>
      <c r="D549" s="21"/>
    </row>
    <row r="550" spans="1:4" ht="13">
      <c r="A550" s="21"/>
      <c r="B550" s="21"/>
      <c r="C550" s="21"/>
      <c r="D550" s="21"/>
    </row>
    <row r="551" spans="1:4" ht="13">
      <c r="A551" s="21"/>
      <c r="B551" s="21"/>
      <c r="C551" s="21"/>
      <c r="D551" s="21"/>
    </row>
    <row r="552" spans="1:4" ht="13">
      <c r="A552" s="21"/>
      <c r="B552" s="21"/>
      <c r="C552" s="21"/>
      <c r="D552" s="21"/>
    </row>
    <row r="553" spans="1:4" ht="13">
      <c r="A553" s="21"/>
      <c r="B553" s="21"/>
      <c r="C553" s="21"/>
      <c r="D553" s="21"/>
    </row>
    <row r="554" spans="1:4" ht="13">
      <c r="A554" s="21"/>
      <c r="B554" s="21"/>
      <c r="C554" s="21"/>
      <c r="D554" s="21"/>
    </row>
    <row r="555" spans="1:4" ht="13">
      <c r="A555" s="21"/>
      <c r="B555" s="21"/>
      <c r="C555" s="21"/>
      <c r="D555" s="21"/>
    </row>
    <row r="556" spans="1:4" ht="13">
      <c r="A556" s="21"/>
      <c r="B556" s="21"/>
      <c r="C556" s="21"/>
      <c r="D556" s="21"/>
    </row>
    <row r="557" spans="1:4" ht="13">
      <c r="A557" s="21"/>
      <c r="B557" s="21"/>
      <c r="C557" s="21"/>
      <c r="D557" s="21"/>
    </row>
    <row r="558" spans="1:4" ht="13">
      <c r="A558" s="21"/>
      <c r="B558" s="21"/>
      <c r="C558" s="21"/>
      <c r="D558" s="21"/>
    </row>
    <row r="559" spans="1:4" ht="13">
      <c r="A559" s="21"/>
      <c r="B559" s="21"/>
      <c r="C559" s="21"/>
      <c r="D559" s="21"/>
    </row>
    <row r="560" spans="1:4" ht="13">
      <c r="A560" s="21"/>
      <c r="B560" s="21"/>
      <c r="C560" s="21"/>
      <c r="D560" s="21"/>
    </row>
    <row r="561" spans="1:4" ht="13">
      <c r="A561" s="21"/>
      <c r="B561" s="21"/>
      <c r="C561" s="21"/>
      <c r="D561" s="21"/>
    </row>
    <row r="562" spans="1:4" ht="13">
      <c r="A562" s="21"/>
      <c r="B562" s="21"/>
      <c r="C562" s="21"/>
      <c r="D562" s="21"/>
    </row>
    <row r="563" spans="1:4" ht="13">
      <c r="A563" s="21"/>
      <c r="B563" s="21"/>
      <c r="C563" s="21"/>
      <c r="D563" s="21"/>
    </row>
    <row r="564" spans="1:4" ht="13">
      <c r="A564" s="21"/>
      <c r="B564" s="21"/>
      <c r="C564" s="21"/>
      <c r="D564" s="21"/>
    </row>
    <row r="565" spans="1:4" ht="13">
      <c r="A565" s="21"/>
      <c r="B565" s="21"/>
      <c r="C565" s="21"/>
      <c r="D565" s="21"/>
    </row>
    <row r="566" spans="1:4" ht="13">
      <c r="A566" s="21"/>
      <c r="B566" s="21"/>
      <c r="C566" s="21"/>
      <c r="D566" s="21"/>
    </row>
    <row r="567" spans="1:4" ht="13">
      <c r="A567" s="21"/>
      <c r="B567" s="21"/>
      <c r="C567" s="21"/>
      <c r="D567" s="21"/>
    </row>
    <row r="568" spans="1:4" ht="13">
      <c r="A568" s="21"/>
      <c r="B568" s="21"/>
      <c r="C568" s="21"/>
      <c r="D568" s="21"/>
    </row>
    <row r="569" spans="1:4" ht="13">
      <c r="A569" s="21"/>
      <c r="B569" s="21"/>
      <c r="C569" s="21"/>
      <c r="D569" s="21"/>
    </row>
    <row r="570" spans="1:4" ht="13">
      <c r="A570" s="21"/>
      <c r="B570" s="21"/>
      <c r="C570" s="21"/>
      <c r="D570" s="21"/>
    </row>
    <row r="571" spans="1:4" ht="13">
      <c r="A571" s="21"/>
      <c r="B571" s="21"/>
      <c r="C571" s="21"/>
      <c r="D571" s="21"/>
    </row>
    <row r="572" spans="1:4" ht="13">
      <c r="A572" s="21"/>
      <c r="B572" s="21"/>
      <c r="C572" s="21"/>
      <c r="D572" s="21"/>
    </row>
    <row r="573" spans="1:4" ht="13">
      <c r="A573" s="21"/>
      <c r="B573" s="21"/>
      <c r="C573" s="21"/>
      <c r="D573" s="21"/>
    </row>
    <row r="574" spans="1:4" ht="13">
      <c r="A574" s="21"/>
      <c r="B574" s="21"/>
      <c r="C574" s="21"/>
      <c r="D574" s="21"/>
    </row>
    <row r="575" spans="1:4" ht="13">
      <c r="A575" s="21"/>
      <c r="B575" s="21"/>
      <c r="C575" s="21"/>
      <c r="D575" s="21"/>
    </row>
    <row r="576" spans="1:4" ht="13">
      <c r="A576" s="21"/>
      <c r="B576" s="21"/>
      <c r="C576" s="21"/>
      <c r="D576" s="21"/>
    </row>
    <row r="577" spans="1:4" ht="13">
      <c r="A577" s="21"/>
      <c r="B577" s="21"/>
      <c r="C577" s="21"/>
      <c r="D577" s="21"/>
    </row>
    <row r="578" spans="1:4" ht="13">
      <c r="A578" s="21"/>
      <c r="B578" s="21"/>
      <c r="C578" s="21"/>
      <c r="D578" s="21"/>
    </row>
    <row r="579" spans="1:4" ht="13">
      <c r="A579" s="21"/>
      <c r="B579" s="21"/>
      <c r="C579" s="21"/>
      <c r="D579" s="21"/>
    </row>
    <row r="580" spans="1:4" ht="13">
      <c r="A580" s="21"/>
      <c r="B580" s="21"/>
      <c r="C580" s="21"/>
      <c r="D580" s="21"/>
    </row>
    <row r="581" spans="1:4" ht="13">
      <c r="A581" s="21"/>
      <c r="B581" s="21"/>
      <c r="C581" s="21"/>
      <c r="D581" s="21"/>
    </row>
    <row r="582" spans="1:4" ht="13">
      <c r="A582" s="21"/>
      <c r="B582" s="21"/>
      <c r="C582" s="21"/>
      <c r="D582" s="21"/>
    </row>
    <row r="583" spans="1:4" ht="13">
      <c r="A583" s="21"/>
      <c r="B583" s="21"/>
      <c r="C583" s="21"/>
      <c r="D583" s="21"/>
    </row>
    <row r="584" spans="1:4" ht="13">
      <c r="A584" s="21"/>
      <c r="B584" s="21"/>
      <c r="C584" s="21"/>
      <c r="D584" s="21"/>
    </row>
    <row r="585" spans="1:4" ht="13">
      <c r="A585" s="21"/>
      <c r="B585" s="21"/>
      <c r="C585" s="21"/>
      <c r="D585" s="21"/>
    </row>
    <row r="586" spans="1:4" ht="13">
      <c r="A586" s="21"/>
      <c r="B586" s="21"/>
      <c r="C586" s="21"/>
      <c r="D586" s="21"/>
    </row>
    <row r="587" spans="1:4" ht="13">
      <c r="A587" s="21"/>
      <c r="B587" s="21"/>
      <c r="C587" s="21"/>
      <c r="D587" s="21"/>
    </row>
    <row r="588" spans="1:4" ht="13">
      <c r="A588" s="21"/>
      <c r="B588" s="21"/>
      <c r="C588" s="21"/>
      <c r="D588" s="21"/>
    </row>
    <row r="589" spans="1:4" ht="13">
      <c r="A589" s="21"/>
      <c r="B589" s="21"/>
      <c r="C589" s="21"/>
      <c r="D589" s="21"/>
    </row>
    <row r="590" spans="1:4" ht="13">
      <c r="A590" s="21"/>
      <c r="B590" s="21"/>
      <c r="C590" s="21"/>
      <c r="D590" s="21"/>
    </row>
    <row r="591" spans="1:4" ht="13">
      <c r="A591" s="21"/>
      <c r="B591" s="21"/>
      <c r="C591" s="21"/>
      <c r="D591" s="21"/>
    </row>
    <row r="592" spans="1:4" ht="13">
      <c r="A592" s="21"/>
      <c r="B592" s="21"/>
      <c r="C592" s="21"/>
      <c r="D592" s="21"/>
    </row>
    <row r="593" spans="1:4" ht="13">
      <c r="A593" s="21"/>
      <c r="B593" s="21"/>
      <c r="C593" s="21"/>
      <c r="D593" s="21"/>
    </row>
    <row r="594" spans="1:4" ht="13">
      <c r="A594" s="21"/>
      <c r="B594" s="21"/>
      <c r="C594" s="21"/>
      <c r="D594" s="21"/>
    </row>
    <row r="595" spans="1:4" ht="13">
      <c r="A595" s="21"/>
      <c r="B595" s="21"/>
      <c r="C595" s="21"/>
      <c r="D595" s="21"/>
    </row>
    <row r="596" spans="1:4" ht="13">
      <c r="A596" s="21"/>
      <c r="B596" s="21"/>
      <c r="C596" s="21"/>
      <c r="D596" s="21"/>
    </row>
    <row r="597" spans="1:4" ht="13">
      <c r="A597" s="21"/>
      <c r="B597" s="21"/>
      <c r="C597" s="21"/>
      <c r="D597" s="21"/>
    </row>
    <row r="598" spans="1:4" ht="13">
      <c r="A598" s="21"/>
      <c r="B598" s="21"/>
      <c r="C598" s="21"/>
      <c r="D598" s="21"/>
    </row>
    <row r="599" spans="1:4" ht="13">
      <c r="A599" s="21"/>
      <c r="B599" s="21"/>
      <c r="C599" s="21"/>
      <c r="D599" s="21"/>
    </row>
    <row r="600" spans="1:4" ht="13">
      <c r="A600" s="21"/>
      <c r="B600" s="21"/>
      <c r="C600" s="21"/>
      <c r="D600" s="21"/>
    </row>
    <row r="601" spans="1:4" ht="13">
      <c r="A601" s="21"/>
      <c r="B601" s="21"/>
      <c r="C601" s="21"/>
      <c r="D601" s="21"/>
    </row>
    <row r="602" spans="1:4" ht="13">
      <c r="A602" s="21"/>
      <c r="B602" s="21"/>
      <c r="C602" s="21"/>
      <c r="D602" s="21"/>
    </row>
    <row r="603" spans="1:4" ht="13">
      <c r="A603" s="21"/>
      <c r="B603" s="21"/>
      <c r="C603" s="21"/>
      <c r="D603" s="21"/>
    </row>
    <row r="604" spans="1:4" ht="13">
      <c r="A604" s="21"/>
      <c r="B604" s="21"/>
      <c r="C604" s="21"/>
      <c r="D604" s="21"/>
    </row>
    <row r="605" spans="1:4" ht="13">
      <c r="A605" s="21"/>
      <c r="B605" s="21"/>
      <c r="C605" s="21"/>
      <c r="D605" s="21"/>
    </row>
    <row r="606" spans="1:4" ht="13">
      <c r="A606" s="21"/>
      <c r="B606" s="21"/>
      <c r="C606" s="21"/>
      <c r="D606" s="21"/>
    </row>
    <row r="607" spans="1:4" ht="13">
      <c r="A607" s="21"/>
      <c r="B607" s="21"/>
      <c r="C607" s="21"/>
      <c r="D607" s="21"/>
    </row>
    <row r="608" spans="1:4" ht="13">
      <c r="A608" s="21"/>
      <c r="B608" s="21"/>
      <c r="C608" s="21"/>
      <c r="D608" s="21"/>
    </row>
    <row r="609" spans="1:4" ht="13">
      <c r="A609" s="21"/>
      <c r="B609" s="21"/>
      <c r="C609" s="21"/>
      <c r="D609" s="21"/>
    </row>
    <row r="610" spans="1:4" ht="13">
      <c r="A610" s="21"/>
      <c r="B610" s="21"/>
      <c r="C610" s="21"/>
      <c r="D610" s="21"/>
    </row>
    <row r="611" spans="1:4" ht="13">
      <c r="A611" s="21"/>
      <c r="B611" s="21"/>
      <c r="C611" s="21"/>
      <c r="D611" s="21"/>
    </row>
    <row r="612" spans="1:4" ht="13">
      <c r="A612" s="21"/>
      <c r="B612" s="21"/>
      <c r="C612" s="21"/>
      <c r="D612" s="21"/>
    </row>
    <row r="613" spans="1:4" ht="13">
      <c r="A613" s="21"/>
      <c r="B613" s="21"/>
      <c r="C613" s="21"/>
      <c r="D613" s="21"/>
    </row>
    <row r="614" spans="1:4" ht="13">
      <c r="A614" s="21"/>
      <c r="B614" s="21"/>
      <c r="C614" s="21"/>
      <c r="D614" s="21"/>
    </row>
    <row r="615" spans="1:4" ht="13">
      <c r="A615" s="21"/>
      <c r="B615" s="21"/>
      <c r="C615" s="21"/>
      <c r="D615" s="21"/>
    </row>
    <row r="616" spans="1:4" ht="13">
      <c r="A616" s="21"/>
      <c r="B616" s="21"/>
      <c r="C616" s="21"/>
      <c r="D616" s="21"/>
    </row>
    <row r="617" spans="1:4" ht="13">
      <c r="A617" s="21"/>
      <c r="B617" s="21"/>
      <c r="C617" s="21"/>
      <c r="D617" s="21"/>
    </row>
    <row r="618" spans="1:4" ht="13">
      <c r="A618" s="21"/>
      <c r="B618" s="21"/>
      <c r="C618" s="21"/>
      <c r="D618" s="21"/>
    </row>
    <row r="619" spans="1:4" ht="13">
      <c r="A619" s="21"/>
      <c r="B619" s="21"/>
      <c r="C619" s="21"/>
      <c r="D619" s="21"/>
    </row>
    <row r="620" spans="1:4" ht="13">
      <c r="A620" s="21"/>
      <c r="B620" s="21"/>
      <c r="C620" s="21"/>
      <c r="D620" s="21"/>
    </row>
    <row r="621" spans="1:4" ht="13">
      <c r="A621" s="21"/>
      <c r="B621" s="21"/>
      <c r="C621" s="21"/>
      <c r="D621" s="21"/>
    </row>
    <row r="622" spans="1:4" ht="13">
      <c r="A622" s="21"/>
      <c r="B622" s="21"/>
      <c r="C622" s="21"/>
      <c r="D622" s="21"/>
    </row>
    <row r="623" spans="1:4" ht="13">
      <c r="A623" s="21"/>
      <c r="B623" s="21"/>
      <c r="C623" s="21"/>
      <c r="D623" s="21"/>
    </row>
    <row r="624" spans="1:4" ht="13">
      <c r="A624" s="21"/>
      <c r="B624" s="21"/>
      <c r="C624" s="21"/>
      <c r="D624" s="21"/>
    </row>
    <row r="625" spans="1:4" ht="13">
      <c r="A625" s="21"/>
      <c r="B625" s="21"/>
      <c r="C625" s="21"/>
      <c r="D625" s="21"/>
    </row>
    <row r="626" spans="1:4" ht="13">
      <c r="A626" s="21"/>
      <c r="B626" s="21"/>
      <c r="C626" s="21"/>
      <c r="D626" s="21"/>
    </row>
    <row r="627" spans="1:4" ht="13">
      <c r="A627" s="21"/>
      <c r="B627" s="21"/>
      <c r="C627" s="21"/>
      <c r="D627" s="21"/>
    </row>
    <row r="628" spans="1:4" ht="13">
      <c r="A628" s="21"/>
      <c r="B628" s="21"/>
      <c r="C628" s="21"/>
      <c r="D628" s="21"/>
    </row>
    <row r="629" spans="1:4" ht="13">
      <c r="A629" s="21"/>
      <c r="B629" s="21"/>
      <c r="C629" s="21"/>
      <c r="D629" s="21"/>
    </row>
    <row r="630" spans="1:4" ht="13">
      <c r="A630" s="21"/>
      <c r="B630" s="21"/>
      <c r="C630" s="21"/>
      <c r="D630" s="21"/>
    </row>
    <row r="631" spans="1:4" ht="13">
      <c r="A631" s="21"/>
      <c r="B631" s="21"/>
      <c r="C631" s="21"/>
      <c r="D631" s="21"/>
    </row>
    <row r="632" spans="1:4" ht="13">
      <c r="A632" s="21"/>
      <c r="B632" s="21"/>
      <c r="C632" s="21"/>
      <c r="D632" s="21"/>
    </row>
    <row r="633" spans="1:4" ht="13">
      <c r="A633" s="21"/>
      <c r="B633" s="21"/>
      <c r="C633" s="21"/>
      <c r="D633" s="21"/>
    </row>
    <row r="634" spans="1:4" ht="13">
      <c r="A634" s="21"/>
      <c r="B634" s="21"/>
      <c r="C634" s="21"/>
      <c r="D634" s="21"/>
    </row>
    <row r="635" spans="1:4" ht="13">
      <c r="A635" s="21"/>
      <c r="B635" s="21"/>
      <c r="C635" s="21"/>
      <c r="D635" s="21"/>
    </row>
    <row r="636" spans="1:4" ht="13">
      <c r="A636" s="21"/>
      <c r="B636" s="21"/>
      <c r="C636" s="21"/>
      <c r="D636" s="21"/>
    </row>
    <row r="637" spans="1:4" ht="13">
      <c r="A637" s="21"/>
      <c r="B637" s="21"/>
      <c r="C637" s="21"/>
      <c r="D637" s="21"/>
    </row>
    <row r="638" spans="1:4" ht="13">
      <c r="A638" s="21"/>
      <c r="B638" s="21"/>
      <c r="C638" s="21"/>
      <c r="D638" s="21"/>
    </row>
    <row r="639" spans="1:4" ht="13">
      <c r="A639" s="21"/>
      <c r="B639" s="21"/>
      <c r="C639" s="21"/>
      <c r="D639" s="21"/>
    </row>
    <row r="640" spans="1:4" ht="13">
      <c r="A640" s="21"/>
      <c r="B640" s="21"/>
      <c r="C640" s="21"/>
      <c r="D640" s="21"/>
    </row>
    <row r="641" spans="1:4" ht="13">
      <c r="A641" s="21"/>
      <c r="B641" s="21"/>
      <c r="C641" s="21"/>
      <c r="D641" s="21"/>
    </row>
    <row r="642" spans="1:4" ht="13">
      <c r="A642" s="21"/>
      <c r="B642" s="21"/>
      <c r="C642" s="21"/>
      <c r="D642" s="21"/>
    </row>
    <row r="643" spans="1:4" ht="13">
      <c r="A643" s="21"/>
      <c r="B643" s="21"/>
      <c r="C643" s="21"/>
      <c r="D643" s="21"/>
    </row>
    <row r="644" spans="1:4" ht="13">
      <c r="A644" s="21"/>
      <c r="B644" s="21"/>
      <c r="C644" s="21"/>
      <c r="D644" s="21"/>
    </row>
    <row r="645" spans="1:4" ht="13">
      <c r="A645" s="21"/>
      <c r="B645" s="21"/>
      <c r="C645" s="21"/>
      <c r="D645" s="21"/>
    </row>
    <row r="646" spans="1:4" ht="13">
      <c r="A646" s="21"/>
      <c r="B646" s="21"/>
      <c r="C646" s="21"/>
      <c r="D646" s="21"/>
    </row>
    <row r="647" spans="1:4" ht="13">
      <c r="A647" s="21"/>
      <c r="B647" s="21"/>
      <c r="C647" s="21"/>
      <c r="D647" s="21"/>
    </row>
    <row r="648" spans="1:4" ht="13">
      <c r="A648" s="21"/>
      <c r="B648" s="21"/>
      <c r="C648" s="21"/>
      <c r="D648" s="21"/>
    </row>
    <row r="649" spans="1:4" ht="13">
      <c r="A649" s="21"/>
      <c r="B649" s="21"/>
      <c r="C649" s="21"/>
      <c r="D649" s="21"/>
    </row>
    <row r="650" spans="1:4" ht="13">
      <c r="A650" s="21"/>
      <c r="B650" s="21"/>
      <c r="C650" s="21"/>
      <c r="D650" s="21"/>
    </row>
    <row r="651" spans="1:4" ht="13">
      <c r="A651" s="21"/>
      <c r="B651" s="21"/>
      <c r="C651" s="21"/>
      <c r="D651" s="21"/>
    </row>
    <row r="652" spans="1:4" ht="13">
      <c r="A652" s="21"/>
      <c r="B652" s="21"/>
      <c r="C652" s="21"/>
      <c r="D652" s="21"/>
    </row>
    <row r="653" spans="1:4" ht="13">
      <c r="A653" s="21"/>
      <c r="B653" s="21"/>
      <c r="C653" s="21"/>
      <c r="D653" s="21"/>
    </row>
    <row r="654" spans="1:4" ht="13">
      <c r="A654" s="21"/>
      <c r="B654" s="21"/>
      <c r="C654" s="21"/>
      <c r="D654" s="21"/>
    </row>
    <row r="655" spans="1:4" ht="13">
      <c r="A655" s="21"/>
      <c r="B655" s="21"/>
      <c r="C655" s="21"/>
      <c r="D655" s="21"/>
    </row>
    <row r="656" spans="1:4" ht="13">
      <c r="A656" s="21"/>
      <c r="B656" s="21"/>
      <c r="C656" s="21"/>
      <c r="D656" s="21"/>
    </row>
    <row r="657" spans="1:4" ht="13">
      <c r="A657" s="21"/>
      <c r="B657" s="21"/>
      <c r="C657" s="21"/>
      <c r="D657" s="21"/>
    </row>
    <row r="658" spans="1:4" ht="13">
      <c r="A658" s="21"/>
      <c r="B658" s="21"/>
      <c r="C658" s="21"/>
      <c r="D658" s="21"/>
    </row>
    <row r="659" spans="1:4" ht="13">
      <c r="A659" s="21"/>
      <c r="B659" s="21"/>
      <c r="C659" s="21"/>
      <c r="D659" s="21"/>
    </row>
    <row r="660" spans="1:4" ht="13">
      <c r="A660" s="21"/>
      <c r="B660" s="21"/>
      <c r="C660" s="21"/>
      <c r="D660" s="21"/>
    </row>
    <row r="661" spans="1:4" ht="13">
      <c r="A661" s="21"/>
      <c r="B661" s="21"/>
      <c r="C661" s="21"/>
      <c r="D661" s="21"/>
    </row>
    <row r="662" spans="1:4" ht="13">
      <c r="A662" s="21"/>
      <c r="B662" s="21"/>
      <c r="C662" s="21"/>
      <c r="D662" s="21"/>
    </row>
    <row r="663" spans="1:4" ht="13">
      <c r="A663" s="21"/>
      <c r="B663" s="21"/>
      <c r="C663" s="21"/>
      <c r="D663" s="21"/>
    </row>
    <row r="664" spans="1:4" ht="13">
      <c r="A664" s="21"/>
      <c r="B664" s="21"/>
      <c r="C664" s="21"/>
      <c r="D664" s="21"/>
    </row>
    <row r="665" spans="1:4" ht="13">
      <c r="A665" s="21"/>
      <c r="B665" s="21"/>
      <c r="C665" s="21"/>
      <c r="D665" s="21"/>
    </row>
    <row r="666" spans="1:4" ht="13">
      <c r="A666" s="21"/>
      <c r="B666" s="21"/>
      <c r="C666" s="21"/>
      <c r="D666" s="21"/>
    </row>
    <row r="667" spans="1:4" ht="13">
      <c r="A667" s="21"/>
      <c r="B667" s="21"/>
      <c r="C667" s="21"/>
      <c r="D667" s="21"/>
    </row>
    <row r="668" spans="1:4" ht="13">
      <c r="A668" s="21"/>
      <c r="B668" s="21"/>
      <c r="C668" s="21"/>
      <c r="D668" s="21"/>
    </row>
    <row r="669" spans="1:4" ht="13">
      <c r="A669" s="21"/>
      <c r="B669" s="21"/>
      <c r="C669" s="21"/>
      <c r="D669" s="21"/>
    </row>
    <row r="670" spans="1:4" ht="13">
      <c r="A670" s="21"/>
      <c r="B670" s="21"/>
      <c r="C670" s="21"/>
      <c r="D670" s="21"/>
    </row>
    <row r="671" spans="1:4" ht="13">
      <c r="A671" s="21"/>
      <c r="B671" s="21"/>
      <c r="C671" s="21"/>
      <c r="D671" s="21"/>
    </row>
    <row r="672" spans="1:4" ht="13">
      <c r="A672" s="21"/>
      <c r="B672" s="21"/>
      <c r="C672" s="21"/>
      <c r="D672" s="21"/>
    </row>
    <row r="673" spans="1:4" ht="13">
      <c r="A673" s="21"/>
      <c r="B673" s="21"/>
      <c r="C673" s="21"/>
      <c r="D673" s="21"/>
    </row>
    <row r="674" spans="1:4" ht="13">
      <c r="A674" s="21"/>
      <c r="B674" s="21"/>
      <c r="C674" s="21"/>
      <c r="D674" s="21"/>
    </row>
    <row r="675" spans="1:4" ht="13">
      <c r="A675" s="21"/>
      <c r="B675" s="21"/>
      <c r="C675" s="21"/>
      <c r="D675" s="21"/>
    </row>
    <row r="676" spans="1:4" ht="13">
      <c r="A676" s="21"/>
      <c r="B676" s="21"/>
      <c r="C676" s="21"/>
      <c r="D676" s="21"/>
    </row>
    <row r="677" spans="1:4" ht="13">
      <c r="A677" s="21"/>
      <c r="B677" s="21"/>
      <c r="C677" s="21"/>
      <c r="D677" s="21"/>
    </row>
    <row r="678" spans="1:4" ht="13">
      <c r="A678" s="21"/>
      <c r="B678" s="21"/>
      <c r="C678" s="21"/>
      <c r="D678" s="21"/>
    </row>
    <row r="679" spans="1:4" ht="13">
      <c r="A679" s="21"/>
      <c r="B679" s="21"/>
      <c r="C679" s="21"/>
      <c r="D679" s="21"/>
    </row>
    <row r="680" spans="1:4" ht="13">
      <c r="A680" s="21"/>
      <c r="B680" s="21"/>
      <c r="C680" s="21"/>
      <c r="D680" s="21"/>
    </row>
    <row r="681" spans="1:4" ht="13">
      <c r="A681" s="21"/>
      <c r="B681" s="21"/>
      <c r="C681" s="21"/>
      <c r="D681" s="21"/>
    </row>
    <row r="682" spans="1:4" ht="13">
      <c r="A682" s="21"/>
      <c r="B682" s="21"/>
      <c r="C682" s="21"/>
      <c r="D682" s="21"/>
    </row>
    <row r="683" spans="1:4" ht="13">
      <c r="A683" s="21"/>
      <c r="B683" s="21"/>
      <c r="C683" s="21"/>
      <c r="D683" s="21"/>
    </row>
    <row r="684" spans="1:4" ht="13">
      <c r="A684" s="21"/>
      <c r="B684" s="21"/>
      <c r="C684" s="21"/>
      <c r="D684" s="21"/>
    </row>
    <row r="685" spans="1:4" ht="13">
      <c r="A685" s="21"/>
      <c r="B685" s="21"/>
      <c r="C685" s="21"/>
      <c r="D685" s="21"/>
    </row>
    <row r="686" spans="1:4" ht="13">
      <c r="A686" s="21"/>
      <c r="B686" s="21"/>
      <c r="C686" s="21"/>
      <c r="D686" s="21"/>
    </row>
    <row r="687" spans="1:4" ht="13">
      <c r="A687" s="21"/>
      <c r="B687" s="21"/>
      <c r="C687" s="21"/>
      <c r="D687" s="21"/>
    </row>
    <row r="688" spans="1:4" ht="13">
      <c r="A688" s="21"/>
      <c r="B688" s="21"/>
      <c r="C688" s="21"/>
      <c r="D688" s="21"/>
    </row>
    <row r="689" spans="1:4" ht="13">
      <c r="A689" s="21"/>
      <c r="B689" s="21"/>
      <c r="C689" s="21"/>
      <c r="D689" s="21"/>
    </row>
    <row r="690" spans="1:4" ht="13">
      <c r="A690" s="21"/>
      <c r="B690" s="21"/>
      <c r="C690" s="21"/>
      <c r="D690" s="21"/>
    </row>
    <row r="691" spans="1:4" ht="13">
      <c r="A691" s="21"/>
      <c r="B691" s="21"/>
      <c r="C691" s="21"/>
      <c r="D691" s="21"/>
    </row>
    <row r="692" spans="1:4" ht="13">
      <c r="A692" s="21"/>
      <c r="B692" s="21"/>
      <c r="C692" s="21"/>
      <c r="D692" s="21"/>
    </row>
    <row r="693" spans="1:4" ht="13">
      <c r="A693" s="21"/>
      <c r="B693" s="21"/>
      <c r="C693" s="21"/>
      <c r="D693" s="21"/>
    </row>
    <row r="694" spans="1:4" ht="13">
      <c r="A694" s="21"/>
      <c r="B694" s="21"/>
      <c r="C694" s="21"/>
      <c r="D694" s="21"/>
    </row>
    <row r="695" spans="1:4" ht="13">
      <c r="A695" s="21"/>
      <c r="B695" s="21"/>
      <c r="C695" s="21"/>
      <c r="D695" s="21"/>
    </row>
    <row r="696" spans="1:4" ht="13">
      <c r="A696" s="21"/>
      <c r="B696" s="21"/>
      <c r="C696" s="21"/>
      <c r="D696" s="21"/>
    </row>
    <row r="697" spans="1:4" ht="13">
      <c r="A697" s="21"/>
      <c r="B697" s="21"/>
      <c r="C697" s="21"/>
      <c r="D697" s="21"/>
    </row>
    <row r="698" spans="1:4" ht="13">
      <c r="A698" s="21"/>
      <c r="B698" s="21"/>
      <c r="C698" s="21"/>
      <c r="D698" s="21"/>
    </row>
    <row r="699" spans="1:4" ht="13">
      <c r="A699" s="21"/>
      <c r="B699" s="21"/>
      <c r="C699" s="21"/>
      <c r="D699" s="21"/>
    </row>
    <row r="700" spans="1:4" ht="13">
      <c r="A700" s="21"/>
      <c r="B700" s="21"/>
      <c r="C700" s="21"/>
      <c r="D700" s="21"/>
    </row>
    <row r="701" spans="1:4" ht="13">
      <c r="A701" s="21"/>
      <c r="B701" s="21"/>
      <c r="C701" s="21"/>
      <c r="D701" s="21"/>
    </row>
    <row r="702" spans="1:4" ht="13">
      <c r="A702" s="21"/>
      <c r="B702" s="21"/>
      <c r="C702" s="21"/>
      <c r="D702" s="21"/>
    </row>
    <row r="703" spans="1:4" ht="13">
      <c r="A703" s="21"/>
      <c r="B703" s="21"/>
      <c r="C703" s="21"/>
      <c r="D703" s="21"/>
    </row>
    <row r="704" spans="1:4" ht="13">
      <c r="A704" s="21"/>
      <c r="B704" s="21"/>
      <c r="C704" s="21"/>
      <c r="D704" s="21"/>
    </row>
    <row r="705" spans="1:4" ht="13">
      <c r="A705" s="21"/>
      <c r="B705" s="21"/>
      <c r="C705" s="21"/>
      <c r="D705" s="21"/>
    </row>
    <row r="706" spans="1:4" ht="13">
      <c r="A706" s="21"/>
      <c r="B706" s="21"/>
      <c r="C706" s="21"/>
      <c r="D706" s="21"/>
    </row>
    <row r="707" spans="1:4" ht="13">
      <c r="A707" s="21"/>
      <c r="B707" s="21"/>
      <c r="C707" s="21"/>
      <c r="D707" s="21"/>
    </row>
    <row r="708" spans="1:4" ht="13">
      <c r="A708" s="21"/>
      <c r="B708" s="21"/>
      <c r="C708" s="21"/>
      <c r="D708" s="21"/>
    </row>
    <row r="709" spans="1:4" ht="13">
      <c r="A709" s="21"/>
      <c r="B709" s="21"/>
      <c r="C709" s="21"/>
      <c r="D709" s="21"/>
    </row>
    <row r="710" spans="1:4" ht="13">
      <c r="A710" s="21"/>
      <c r="B710" s="21"/>
      <c r="C710" s="21"/>
      <c r="D710" s="21"/>
    </row>
    <row r="711" spans="1:4" ht="13">
      <c r="A711" s="21"/>
      <c r="B711" s="21"/>
      <c r="C711" s="21"/>
      <c r="D711" s="21"/>
    </row>
    <row r="712" spans="1:4" ht="13">
      <c r="A712" s="21"/>
      <c r="B712" s="21"/>
      <c r="C712" s="21"/>
      <c r="D712" s="21"/>
    </row>
    <row r="713" spans="1:4" ht="13">
      <c r="A713" s="21"/>
      <c r="B713" s="21"/>
      <c r="C713" s="21"/>
      <c r="D713" s="21"/>
    </row>
    <row r="714" spans="1:4" ht="13">
      <c r="A714" s="21"/>
      <c r="B714" s="21"/>
      <c r="C714" s="21"/>
      <c r="D714" s="21"/>
    </row>
    <row r="715" spans="1:4" ht="13">
      <c r="A715" s="21"/>
      <c r="B715" s="21"/>
      <c r="C715" s="21"/>
      <c r="D715" s="21"/>
    </row>
    <row r="716" spans="1:4" ht="13">
      <c r="A716" s="21"/>
      <c r="B716" s="21"/>
      <c r="C716" s="21"/>
      <c r="D716" s="21"/>
    </row>
    <row r="717" spans="1:4" ht="13">
      <c r="A717" s="21"/>
      <c r="B717" s="21"/>
      <c r="C717" s="21"/>
      <c r="D717" s="21"/>
    </row>
    <row r="718" spans="1:4" ht="13">
      <c r="A718" s="21"/>
      <c r="B718" s="21"/>
      <c r="C718" s="21"/>
      <c r="D718" s="21"/>
    </row>
    <row r="719" spans="1:4" ht="13">
      <c r="A719" s="21"/>
      <c r="B719" s="21"/>
      <c r="C719" s="21"/>
      <c r="D719" s="21"/>
    </row>
    <row r="720" spans="1:4" ht="13">
      <c r="A720" s="21"/>
      <c r="B720" s="21"/>
      <c r="C720" s="21"/>
      <c r="D720" s="21"/>
    </row>
    <row r="721" spans="1:4" ht="13">
      <c r="A721" s="21"/>
      <c r="B721" s="21"/>
      <c r="C721" s="21"/>
      <c r="D721" s="21"/>
    </row>
    <row r="722" spans="1:4" ht="13">
      <c r="A722" s="21"/>
      <c r="B722" s="21"/>
      <c r="C722" s="21"/>
      <c r="D722" s="21"/>
    </row>
    <row r="723" spans="1:4" ht="13">
      <c r="A723" s="21"/>
      <c r="B723" s="21"/>
      <c r="C723" s="21"/>
      <c r="D723" s="21"/>
    </row>
    <row r="724" spans="1:4" ht="13">
      <c r="A724" s="21"/>
      <c r="B724" s="21"/>
      <c r="C724" s="21"/>
      <c r="D724" s="21"/>
    </row>
    <row r="725" spans="1:4" ht="13">
      <c r="A725" s="21"/>
      <c r="B725" s="21"/>
      <c r="C725" s="21"/>
      <c r="D725" s="21"/>
    </row>
    <row r="726" spans="1:4" ht="13">
      <c r="A726" s="21"/>
      <c r="B726" s="21"/>
      <c r="C726" s="21"/>
      <c r="D726" s="21"/>
    </row>
    <row r="727" spans="1:4" ht="13">
      <c r="A727" s="21"/>
      <c r="B727" s="21"/>
      <c r="C727" s="21"/>
      <c r="D727" s="21"/>
    </row>
    <row r="728" spans="1:4" ht="13">
      <c r="A728" s="21"/>
      <c r="B728" s="21"/>
      <c r="C728" s="21"/>
      <c r="D728" s="21"/>
    </row>
    <row r="729" spans="1:4" ht="13">
      <c r="A729" s="21"/>
      <c r="B729" s="21"/>
      <c r="C729" s="21"/>
      <c r="D729" s="21"/>
    </row>
    <row r="730" spans="1:4" ht="13">
      <c r="A730" s="21"/>
      <c r="B730" s="21"/>
      <c r="C730" s="21"/>
      <c r="D730" s="21"/>
    </row>
    <row r="731" spans="1:4" ht="13">
      <c r="A731" s="21"/>
      <c r="B731" s="21"/>
      <c r="C731" s="21"/>
      <c r="D731" s="21"/>
    </row>
    <row r="732" spans="1:4" ht="13">
      <c r="A732" s="21"/>
      <c r="B732" s="21"/>
      <c r="C732" s="21"/>
      <c r="D732" s="21"/>
    </row>
    <row r="733" spans="1:4" ht="13">
      <c r="A733" s="21"/>
      <c r="B733" s="21"/>
      <c r="C733" s="21"/>
      <c r="D733" s="21"/>
    </row>
    <row r="734" spans="1:4" ht="13">
      <c r="A734" s="21"/>
      <c r="B734" s="21"/>
      <c r="C734" s="21"/>
      <c r="D734" s="21"/>
    </row>
    <row r="735" spans="1:4" ht="13">
      <c r="A735" s="21"/>
      <c r="B735" s="21"/>
      <c r="C735" s="21"/>
      <c r="D735" s="21"/>
    </row>
    <row r="736" spans="1:4" ht="13">
      <c r="A736" s="21"/>
      <c r="B736" s="21"/>
      <c r="C736" s="21"/>
      <c r="D736" s="21"/>
    </row>
    <row r="737" spans="1:4" ht="13">
      <c r="A737" s="21"/>
      <c r="B737" s="21"/>
      <c r="C737" s="21"/>
      <c r="D737" s="21"/>
    </row>
    <row r="738" spans="1:4" ht="13">
      <c r="A738" s="21"/>
      <c r="B738" s="21"/>
      <c r="C738" s="21"/>
      <c r="D738" s="21"/>
    </row>
    <row r="739" spans="1:4" ht="13">
      <c r="A739" s="21"/>
      <c r="B739" s="21"/>
      <c r="C739" s="21"/>
      <c r="D739" s="21"/>
    </row>
    <row r="740" spans="1:4" ht="13">
      <c r="A740" s="21"/>
      <c r="B740" s="21"/>
      <c r="C740" s="21"/>
      <c r="D740" s="21"/>
    </row>
    <row r="741" spans="1:4" ht="13">
      <c r="A741" s="21"/>
      <c r="B741" s="21"/>
      <c r="C741" s="21"/>
      <c r="D741" s="21"/>
    </row>
    <row r="742" spans="1:4" ht="13">
      <c r="A742" s="21"/>
      <c r="B742" s="21"/>
      <c r="C742" s="21"/>
      <c r="D742" s="21"/>
    </row>
    <row r="743" spans="1:4" ht="13">
      <c r="A743" s="21"/>
      <c r="B743" s="21"/>
      <c r="C743" s="21"/>
      <c r="D743" s="21"/>
    </row>
    <row r="744" spans="1:4" ht="13">
      <c r="A744" s="21"/>
      <c r="B744" s="21"/>
      <c r="C744" s="21"/>
      <c r="D744" s="21"/>
    </row>
    <row r="745" spans="1:4" ht="13">
      <c r="A745" s="21"/>
      <c r="B745" s="21"/>
      <c r="C745" s="21"/>
      <c r="D745" s="21"/>
    </row>
    <row r="746" spans="1:4" ht="13">
      <c r="A746" s="21"/>
      <c r="B746" s="21"/>
      <c r="C746" s="21"/>
      <c r="D746" s="21"/>
    </row>
    <row r="747" spans="1:4" ht="13">
      <c r="A747" s="21"/>
      <c r="B747" s="21"/>
      <c r="C747" s="21"/>
      <c r="D747" s="21"/>
    </row>
    <row r="748" spans="1:4" ht="13">
      <c r="A748" s="21"/>
      <c r="B748" s="21"/>
      <c r="C748" s="21"/>
      <c r="D748" s="21"/>
    </row>
    <row r="749" spans="1:4" ht="13">
      <c r="A749" s="21"/>
      <c r="B749" s="21"/>
      <c r="C749" s="21"/>
      <c r="D749" s="21"/>
    </row>
    <row r="750" spans="1:4" ht="13">
      <c r="A750" s="21"/>
      <c r="B750" s="21"/>
      <c r="C750" s="21"/>
      <c r="D750" s="21"/>
    </row>
    <row r="751" spans="1:4" ht="13">
      <c r="A751" s="21"/>
      <c r="B751" s="21"/>
      <c r="C751" s="21"/>
      <c r="D751" s="21"/>
    </row>
    <row r="752" spans="1:4" ht="13">
      <c r="A752" s="21"/>
      <c r="B752" s="21"/>
      <c r="C752" s="21"/>
      <c r="D752" s="21"/>
    </row>
    <row r="753" spans="1:4" ht="13">
      <c r="A753" s="21"/>
      <c r="B753" s="21"/>
      <c r="C753" s="21"/>
      <c r="D753" s="21"/>
    </row>
    <row r="754" spans="1:4" ht="13">
      <c r="A754" s="21"/>
      <c r="B754" s="21"/>
      <c r="C754" s="21"/>
      <c r="D754" s="21"/>
    </row>
    <row r="755" spans="1:4" ht="13">
      <c r="A755" s="21"/>
      <c r="B755" s="21"/>
      <c r="C755" s="21"/>
      <c r="D755" s="21"/>
    </row>
    <row r="756" spans="1:4" ht="13">
      <c r="A756" s="21"/>
      <c r="B756" s="21"/>
      <c r="C756" s="21"/>
      <c r="D756" s="21"/>
    </row>
    <row r="757" spans="1:4" ht="13">
      <c r="A757" s="21"/>
      <c r="B757" s="21"/>
      <c r="C757" s="21"/>
      <c r="D757" s="21"/>
    </row>
    <row r="758" spans="1:4" ht="13">
      <c r="A758" s="21"/>
      <c r="B758" s="21"/>
      <c r="C758" s="21"/>
      <c r="D758" s="21"/>
    </row>
    <row r="759" spans="1:4" ht="13">
      <c r="A759" s="21"/>
      <c r="B759" s="21"/>
      <c r="C759" s="21"/>
      <c r="D759" s="21"/>
    </row>
    <row r="760" spans="1:4" ht="13">
      <c r="A760" s="21"/>
      <c r="B760" s="21"/>
      <c r="C760" s="21"/>
      <c r="D760" s="21"/>
    </row>
    <row r="761" spans="1:4" ht="13">
      <c r="A761" s="21"/>
      <c r="B761" s="21"/>
      <c r="C761" s="21"/>
      <c r="D761" s="21"/>
    </row>
    <row r="762" spans="1:4" ht="13">
      <c r="A762" s="21"/>
      <c r="B762" s="21"/>
      <c r="C762" s="21"/>
      <c r="D762" s="21"/>
    </row>
    <row r="763" spans="1:4" ht="13">
      <c r="A763" s="21"/>
      <c r="B763" s="21"/>
      <c r="C763" s="21"/>
      <c r="D763" s="21"/>
    </row>
    <row r="764" spans="1:4" ht="13">
      <c r="A764" s="21"/>
      <c r="B764" s="21"/>
      <c r="C764" s="21"/>
      <c r="D764" s="21"/>
    </row>
    <row r="765" spans="1:4" ht="13">
      <c r="A765" s="21"/>
      <c r="B765" s="21"/>
      <c r="C765" s="21"/>
      <c r="D765" s="21"/>
    </row>
    <row r="766" spans="1:4" ht="13">
      <c r="A766" s="21"/>
      <c r="B766" s="21"/>
      <c r="C766" s="21"/>
      <c r="D766" s="21"/>
    </row>
    <row r="767" spans="1:4" ht="13">
      <c r="A767" s="21"/>
      <c r="B767" s="21"/>
      <c r="C767" s="21"/>
      <c r="D767" s="21"/>
    </row>
    <row r="768" spans="1:4" ht="13">
      <c r="A768" s="21"/>
      <c r="B768" s="21"/>
      <c r="C768" s="21"/>
      <c r="D768" s="21"/>
    </row>
    <row r="769" spans="1:4" ht="13">
      <c r="A769" s="21"/>
      <c r="B769" s="21"/>
      <c r="C769" s="21"/>
      <c r="D769" s="21"/>
    </row>
    <row r="770" spans="1:4" ht="13">
      <c r="A770" s="21"/>
      <c r="B770" s="21"/>
      <c r="C770" s="21"/>
      <c r="D770" s="21"/>
    </row>
    <row r="771" spans="1:4" ht="13">
      <c r="A771" s="21"/>
      <c r="B771" s="21"/>
      <c r="C771" s="21"/>
      <c r="D771" s="21"/>
    </row>
    <row r="772" spans="1:4" ht="13">
      <c r="A772" s="21"/>
      <c r="B772" s="21"/>
      <c r="C772" s="21"/>
      <c r="D772" s="21"/>
    </row>
    <row r="773" spans="1:4" ht="13">
      <c r="A773" s="21"/>
      <c r="B773" s="21"/>
      <c r="C773" s="21"/>
      <c r="D773" s="21"/>
    </row>
    <row r="774" spans="1:4" ht="13">
      <c r="A774" s="21"/>
      <c r="B774" s="21"/>
      <c r="C774" s="21"/>
      <c r="D774" s="21"/>
    </row>
    <row r="775" spans="1:4" ht="13">
      <c r="A775" s="21"/>
      <c r="B775" s="21"/>
      <c r="C775" s="21"/>
      <c r="D775" s="21"/>
    </row>
    <row r="776" spans="1:4" ht="13">
      <c r="A776" s="21"/>
      <c r="B776" s="21"/>
      <c r="C776" s="21"/>
      <c r="D776" s="21"/>
    </row>
    <row r="777" spans="1:4" ht="13">
      <c r="A777" s="21"/>
      <c r="B777" s="21"/>
      <c r="C777" s="21"/>
      <c r="D777" s="21"/>
    </row>
    <row r="778" spans="1:4" ht="13">
      <c r="A778" s="21"/>
      <c r="B778" s="21"/>
      <c r="C778" s="21"/>
      <c r="D778" s="21"/>
    </row>
    <row r="779" spans="1:4" ht="13">
      <c r="A779" s="21"/>
      <c r="B779" s="21"/>
      <c r="C779" s="21"/>
      <c r="D779" s="21"/>
    </row>
    <row r="780" spans="1:4" ht="13">
      <c r="A780" s="21"/>
      <c r="B780" s="21"/>
      <c r="C780" s="21"/>
      <c r="D780" s="21"/>
    </row>
    <row r="781" spans="1:4" ht="13">
      <c r="A781" s="21"/>
      <c r="B781" s="21"/>
      <c r="C781" s="21"/>
      <c r="D781" s="21"/>
    </row>
    <row r="782" spans="1:4" ht="13">
      <c r="A782" s="21"/>
      <c r="B782" s="21"/>
      <c r="C782" s="21"/>
      <c r="D782" s="21"/>
    </row>
    <row r="783" spans="1:4" ht="13">
      <c r="A783" s="21"/>
      <c r="B783" s="21"/>
      <c r="C783" s="21"/>
      <c r="D783" s="21"/>
    </row>
    <row r="784" spans="1:4" ht="13">
      <c r="A784" s="21"/>
      <c r="B784" s="21"/>
      <c r="C784" s="21"/>
      <c r="D784" s="21"/>
    </row>
    <row r="785" spans="1:4" ht="13">
      <c r="A785" s="21"/>
      <c r="B785" s="21"/>
      <c r="C785" s="21"/>
      <c r="D785" s="21"/>
    </row>
    <row r="786" spans="1:4" ht="13">
      <c r="A786" s="21"/>
      <c r="B786" s="21"/>
      <c r="C786" s="21"/>
      <c r="D786" s="21"/>
    </row>
    <row r="787" spans="1:4" ht="13">
      <c r="A787" s="21"/>
      <c r="B787" s="21"/>
      <c r="C787" s="21"/>
      <c r="D787" s="21"/>
    </row>
    <row r="788" spans="1:4" ht="13">
      <c r="A788" s="21"/>
      <c r="B788" s="21"/>
      <c r="C788" s="21"/>
      <c r="D788" s="21"/>
    </row>
    <row r="789" spans="1:4" ht="13">
      <c r="A789" s="21"/>
      <c r="B789" s="21"/>
      <c r="C789" s="21"/>
      <c r="D789" s="21"/>
    </row>
    <row r="790" spans="1:4" ht="13">
      <c r="A790" s="21"/>
      <c r="B790" s="21"/>
      <c r="C790" s="21"/>
      <c r="D790" s="21"/>
    </row>
    <row r="791" spans="1:4" ht="13">
      <c r="A791" s="21"/>
      <c r="B791" s="21"/>
      <c r="C791" s="21"/>
      <c r="D791" s="21"/>
    </row>
    <row r="792" spans="1:4" ht="13">
      <c r="A792" s="21"/>
      <c r="B792" s="21"/>
      <c r="C792" s="21"/>
      <c r="D792" s="21"/>
    </row>
    <row r="793" spans="1:4" ht="13">
      <c r="A793" s="21"/>
      <c r="B793" s="21"/>
      <c r="C793" s="21"/>
      <c r="D793" s="21"/>
    </row>
    <row r="794" spans="1:4" ht="13">
      <c r="A794" s="21"/>
      <c r="B794" s="21"/>
      <c r="C794" s="21"/>
      <c r="D794" s="21"/>
    </row>
    <row r="795" spans="1:4" ht="13">
      <c r="A795" s="21"/>
      <c r="B795" s="21"/>
      <c r="C795" s="21"/>
      <c r="D795" s="21"/>
    </row>
    <row r="796" spans="1:4" ht="13">
      <c r="A796" s="21"/>
      <c r="B796" s="21"/>
      <c r="C796" s="21"/>
      <c r="D796" s="21"/>
    </row>
    <row r="797" spans="1:4" ht="13">
      <c r="A797" s="21"/>
      <c r="B797" s="21"/>
      <c r="C797" s="21"/>
      <c r="D797" s="21"/>
    </row>
    <row r="798" spans="1:4" ht="13">
      <c r="A798" s="21"/>
      <c r="B798" s="21"/>
      <c r="C798" s="21"/>
      <c r="D798" s="21"/>
    </row>
    <row r="799" spans="1:4" ht="13">
      <c r="A799" s="21"/>
      <c r="B799" s="21"/>
      <c r="C799" s="21"/>
      <c r="D799" s="21"/>
    </row>
    <row r="800" spans="1:4" ht="13">
      <c r="A800" s="21"/>
      <c r="B800" s="21"/>
      <c r="C800" s="21"/>
      <c r="D800" s="21"/>
    </row>
    <row r="801" spans="1:4" ht="13">
      <c r="A801" s="21"/>
      <c r="B801" s="21"/>
      <c r="C801" s="21"/>
      <c r="D801" s="21"/>
    </row>
    <row r="802" spans="1:4" ht="13">
      <c r="A802" s="21"/>
      <c r="B802" s="21"/>
      <c r="C802" s="21"/>
      <c r="D802" s="21"/>
    </row>
    <row r="803" spans="1:4" ht="13">
      <c r="A803" s="21"/>
      <c r="B803" s="21"/>
      <c r="C803" s="21"/>
      <c r="D803" s="21"/>
    </row>
    <row r="804" spans="1:4" ht="13">
      <c r="A804" s="21"/>
      <c r="B804" s="21"/>
      <c r="C804" s="21"/>
      <c r="D804" s="21"/>
    </row>
    <row r="805" spans="1:4" ht="13">
      <c r="A805" s="21"/>
      <c r="B805" s="21"/>
      <c r="C805" s="21"/>
      <c r="D805" s="21"/>
    </row>
    <row r="806" spans="1:4" ht="13">
      <c r="A806" s="21"/>
      <c r="B806" s="21"/>
      <c r="C806" s="21"/>
      <c r="D806" s="21"/>
    </row>
    <row r="807" spans="1:4" ht="13">
      <c r="A807" s="21"/>
      <c r="B807" s="21"/>
      <c r="C807" s="21"/>
      <c r="D807" s="21"/>
    </row>
    <row r="808" spans="1:4" ht="13">
      <c r="A808" s="21"/>
      <c r="B808" s="21"/>
      <c r="C808" s="21"/>
      <c r="D808" s="21"/>
    </row>
    <row r="809" spans="1:4" ht="13">
      <c r="A809" s="21"/>
      <c r="B809" s="21"/>
      <c r="C809" s="21"/>
      <c r="D809" s="21"/>
    </row>
    <row r="810" spans="1:4" ht="13">
      <c r="A810" s="21"/>
      <c r="B810" s="21"/>
      <c r="C810" s="21"/>
      <c r="D810" s="21"/>
    </row>
    <row r="811" spans="1:4" ht="13">
      <c r="A811" s="21"/>
      <c r="B811" s="21"/>
      <c r="C811" s="21"/>
      <c r="D811" s="21"/>
    </row>
    <row r="812" spans="1:4" ht="13">
      <c r="A812" s="21"/>
      <c r="B812" s="21"/>
      <c r="C812" s="21"/>
      <c r="D812" s="21"/>
    </row>
    <row r="813" spans="1:4" ht="13">
      <c r="A813" s="21"/>
      <c r="B813" s="21"/>
      <c r="C813" s="21"/>
      <c r="D813" s="21"/>
    </row>
    <row r="814" spans="1:4" ht="13">
      <c r="A814" s="21"/>
      <c r="B814" s="21"/>
      <c r="C814" s="21"/>
      <c r="D814" s="21"/>
    </row>
    <row r="815" spans="1:4" ht="13">
      <c r="A815" s="21"/>
      <c r="B815" s="21"/>
      <c r="C815" s="21"/>
      <c r="D815" s="21"/>
    </row>
    <row r="816" spans="1:4" ht="13">
      <c r="A816" s="21"/>
      <c r="B816" s="21"/>
      <c r="C816" s="21"/>
      <c r="D816" s="21"/>
    </row>
    <row r="817" spans="1:4" ht="13">
      <c r="A817" s="21"/>
      <c r="B817" s="21"/>
      <c r="C817" s="21"/>
      <c r="D817" s="21"/>
    </row>
    <row r="818" spans="1:4" ht="13">
      <c r="A818" s="21"/>
      <c r="B818" s="21"/>
      <c r="C818" s="21"/>
      <c r="D818" s="21"/>
    </row>
    <row r="819" spans="1:4" ht="13">
      <c r="A819" s="21"/>
      <c r="B819" s="21"/>
      <c r="C819" s="21"/>
      <c r="D819" s="21"/>
    </row>
    <row r="820" spans="1:4" ht="13">
      <c r="A820" s="21"/>
      <c r="B820" s="21"/>
      <c r="C820" s="21"/>
      <c r="D820" s="21"/>
    </row>
    <row r="821" spans="1:4" ht="13">
      <c r="A821" s="21"/>
      <c r="B821" s="21"/>
      <c r="C821" s="21"/>
      <c r="D821" s="21"/>
    </row>
    <row r="822" spans="1:4" ht="13">
      <c r="A822" s="21"/>
      <c r="B822" s="21"/>
      <c r="C822" s="21"/>
      <c r="D822" s="21"/>
    </row>
    <row r="823" spans="1:4" ht="13">
      <c r="A823" s="21"/>
      <c r="B823" s="21"/>
      <c r="C823" s="21"/>
      <c r="D823" s="21"/>
    </row>
    <row r="824" spans="1:4" ht="13">
      <c r="A824" s="21"/>
      <c r="B824" s="21"/>
      <c r="C824" s="21"/>
      <c r="D824" s="21"/>
    </row>
    <row r="825" spans="1:4" ht="13">
      <c r="A825" s="21"/>
      <c r="B825" s="21"/>
      <c r="C825" s="21"/>
      <c r="D825" s="21"/>
    </row>
    <row r="826" spans="1:4" ht="13">
      <c r="A826" s="21"/>
      <c r="B826" s="21"/>
      <c r="C826" s="21"/>
      <c r="D826" s="21"/>
    </row>
    <row r="827" spans="1:4" ht="13">
      <c r="A827" s="21"/>
      <c r="B827" s="21"/>
      <c r="C827" s="21"/>
      <c r="D827" s="21"/>
    </row>
    <row r="828" spans="1:4" ht="13">
      <c r="A828" s="21"/>
      <c r="B828" s="21"/>
      <c r="C828" s="21"/>
      <c r="D828" s="21"/>
    </row>
    <row r="829" spans="1:4" ht="13">
      <c r="A829" s="21"/>
      <c r="B829" s="21"/>
      <c r="C829" s="21"/>
      <c r="D829" s="21"/>
    </row>
    <row r="830" spans="1:4" ht="13">
      <c r="A830" s="21"/>
      <c r="B830" s="21"/>
      <c r="C830" s="21"/>
      <c r="D830" s="21"/>
    </row>
    <row r="831" spans="1:4" ht="13">
      <c r="A831" s="21"/>
      <c r="B831" s="21"/>
      <c r="C831" s="21"/>
      <c r="D831" s="21"/>
    </row>
    <row r="832" spans="1:4" ht="13">
      <c r="A832" s="21"/>
      <c r="B832" s="21"/>
      <c r="C832" s="21"/>
      <c r="D832" s="21"/>
    </row>
    <row r="833" spans="1:4" ht="13">
      <c r="A833" s="21"/>
      <c r="B833" s="21"/>
      <c r="C833" s="21"/>
      <c r="D833" s="21"/>
    </row>
    <row r="834" spans="1:4" ht="13">
      <c r="A834" s="21"/>
      <c r="B834" s="21"/>
      <c r="C834" s="21"/>
      <c r="D834" s="21"/>
    </row>
    <row r="835" spans="1:4" ht="13">
      <c r="A835" s="21"/>
      <c r="B835" s="21"/>
      <c r="C835" s="21"/>
      <c r="D835" s="21"/>
    </row>
    <row r="836" spans="1:4" ht="13">
      <c r="A836" s="21"/>
      <c r="B836" s="21"/>
      <c r="C836" s="21"/>
      <c r="D836" s="21"/>
    </row>
    <row r="837" spans="1:4" ht="13">
      <c r="A837" s="21"/>
      <c r="B837" s="21"/>
      <c r="C837" s="21"/>
      <c r="D837" s="21"/>
    </row>
    <row r="838" spans="1:4" ht="13">
      <c r="A838" s="21"/>
      <c r="B838" s="21"/>
      <c r="C838" s="21"/>
      <c r="D838" s="21"/>
    </row>
    <row r="839" spans="1:4" ht="13">
      <c r="A839" s="21"/>
      <c r="B839" s="21"/>
      <c r="C839" s="21"/>
      <c r="D839" s="21"/>
    </row>
    <row r="840" spans="1:4" ht="13">
      <c r="A840" s="21"/>
      <c r="B840" s="21"/>
      <c r="C840" s="21"/>
      <c r="D840" s="21"/>
    </row>
    <row r="841" spans="1:4" ht="13">
      <c r="A841" s="21"/>
      <c r="B841" s="21"/>
      <c r="C841" s="21"/>
      <c r="D841" s="21"/>
    </row>
    <row r="842" spans="1:4" ht="13">
      <c r="A842" s="21"/>
      <c r="B842" s="21"/>
      <c r="C842" s="21"/>
      <c r="D842" s="21"/>
    </row>
    <row r="843" spans="1:4" ht="13">
      <c r="A843" s="21"/>
      <c r="B843" s="21"/>
      <c r="C843" s="21"/>
      <c r="D843" s="21"/>
    </row>
    <row r="844" spans="1:4" ht="13">
      <c r="A844" s="21"/>
      <c r="B844" s="21"/>
      <c r="C844" s="21"/>
      <c r="D844" s="21"/>
    </row>
    <row r="845" spans="1:4" ht="13">
      <c r="A845" s="21"/>
      <c r="B845" s="21"/>
      <c r="C845" s="21"/>
      <c r="D845" s="21"/>
    </row>
    <row r="846" spans="1:4" ht="13">
      <c r="A846" s="21"/>
      <c r="B846" s="21"/>
      <c r="C846" s="21"/>
      <c r="D846" s="21"/>
    </row>
    <row r="847" spans="1:4" ht="13">
      <c r="A847" s="21"/>
      <c r="B847" s="21"/>
      <c r="C847" s="21"/>
      <c r="D847" s="21"/>
    </row>
    <row r="848" spans="1:4" ht="13">
      <c r="A848" s="21"/>
      <c r="B848" s="21"/>
      <c r="C848" s="21"/>
      <c r="D848" s="21"/>
    </row>
    <row r="849" spans="1:4" ht="13">
      <c r="A849" s="21"/>
      <c r="B849" s="21"/>
      <c r="C849" s="21"/>
      <c r="D849" s="21"/>
    </row>
    <row r="850" spans="1:4" ht="13">
      <c r="A850" s="21"/>
      <c r="B850" s="21"/>
      <c r="C850" s="21"/>
      <c r="D850" s="21"/>
    </row>
    <row r="851" spans="1:4" ht="13">
      <c r="A851" s="21"/>
      <c r="B851" s="21"/>
      <c r="C851" s="21"/>
      <c r="D851" s="21"/>
    </row>
    <row r="852" spans="1:4" ht="13">
      <c r="A852" s="21"/>
      <c r="B852" s="21"/>
      <c r="C852" s="21"/>
      <c r="D852" s="21"/>
    </row>
    <row r="853" spans="1:4" ht="13">
      <c r="A853" s="21"/>
      <c r="B853" s="21"/>
      <c r="C853" s="21"/>
      <c r="D853" s="21"/>
    </row>
    <row r="854" spans="1:4" ht="13">
      <c r="A854" s="21"/>
      <c r="B854" s="21"/>
      <c r="C854" s="21"/>
      <c r="D854" s="21"/>
    </row>
    <row r="855" spans="1:4" ht="13">
      <c r="A855" s="21"/>
      <c r="B855" s="21"/>
      <c r="C855" s="21"/>
      <c r="D855" s="21"/>
    </row>
    <row r="856" spans="1:4" ht="13">
      <c r="A856" s="21"/>
      <c r="B856" s="21"/>
      <c r="C856" s="21"/>
      <c r="D856" s="21"/>
    </row>
    <row r="857" spans="1:4" ht="13">
      <c r="A857" s="21"/>
      <c r="B857" s="21"/>
      <c r="C857" s="21"/>
      <c r="D857" s="21"/>
    </row>
    <row r="858" spans="1:4" ht="13">
      <c r="A858" s="21"/>
      <c r="B858" s="21"/>
      <c r="C858" s="21"/>
      <c r="D858" s="21"/>
    </row>
    <row r="859" spans="1:4" ht="13">
      <c r="A859" s="21"/>
      <c r="B859" s="21"/>
      <c r="C859" s="21"/>
      <c r="D859" s="21"/>
    </row>
    <row r="860" spans="1:4" ht="13">
      <c r="A860" s="21"/>
      <c r="B860" s="21"/>
      <c r="C860" s="21"/>
      <c r="D860" s="21"/>
    </row>
    <row r="861" spans="1:4" ht="13">
      <c r="A861" s="21"/>
      <c r="B861" s="21"/>
      <c r="C861" s="21"/>
      <c r="D861" s="21"/>
    </row>
    <row r="862" spans="1:4" ht="13">
      <c r="A862" s="21"/>
      <c r="B862" s="21"/>
      <c r="C862" s="21"/>
      <c r="D862" s="21"/>
    </row>
    <row r="863" spans="1:4" ht="13">
      <c r="A863" s="21"/>
      <c r="B863" s="21"/>
      <c r="C863" s="21"/>
      <c r="D863" s="21"/>
    </row>
    <row r="864" spans="1:4" ht="13">
      <c r="A864" s="21"/>
      <c r="B864" s="21"/>
      <c r="C864" s="21"/>
      <c r="D864" s="21"/>
    </row>
    <row r="865" spans="1:4" ht="13">
      <c r="A865" s="21"/>
      <c r="B865" s="21"/>
      <c r="C865" s="21"/>
      <c r="D865" s="21"/>
    </row>
    <row r="866" spans="1:4" ht="13">
      <c r="A866" s="21"/>
      <c r="B866" s="21"/>
      <c r="C866" s="21"/>
      <c r="D866" s="21"/>
    </row>
    <row r="867" spans="1:4" ht="13">
      <c r="A867" s="21"/>
      <c r="B867" s="21"/>
      <c r="C867" s="21"/>
      <c r="D867" s="21"/>
    </row>
    <row r="868" spans="1:4" ht="13">
      <c r="A868" s="21"/>
      <c r="B868" s="21"/>
      <c r="C868" s="21"/>
      <c r="D868" s="21"/>
    </row>
    <row r="869" spans="1:4" ht="13">
      <c r="A869" s="21"/>
      <c r="B869" s="21"/>
      <c r="C869" s="21"/>
      <c r="D869" s="21"/>
    </row>
    <row r="870" spans="1:4" ht="13">
      <c r="A870" s="21"/>
      <c r="B870" s="21"/>
      <c r="C870" s="21"/>
      <c r="D870" s="21"/>
    </row>
    <row r="871" spans="1:4" ht="13">
      <c r="A871" s="21"/>
      <c r="B871" s="21"/>
      <c r="C871" s="21"/>
      <c r="D871" s="21"/>
    </row>
    <row r="872" spans="1:4" ht="13">
      <c r="A872" s="21"/>
      <c r="B872" s="21"/>
      <c r="C872" s="21"/>
      <c r="D872" s="21"/>
    </row>
    <row r="873" spans="1:4" ht="13">
      <c r="A873" s="21"/>
      <c r="B873" s="21"/>
      <c r="C873" s="21"/>
      <c r="D873" s="21"/>
    </row>
    <row r="874" spans="1:4" ht="13">
      <c r="A874" s="21"/>
      <c r="B874" s="21"/>
      <c r="C874" s="21"/>
      <c r="D874" s="21"/>
    </row>
    <row r="875" spans="1:4" ht="13">
      <c r="A875" s="21"/>
      <c r="B875" s="21"/>
      <c r="C875" s="21"/>
      <c r="D875" s="21"/>
    </row>
    <row r="876" spans="1:4" ht="13">
      <c r="A876" s="21"/>
      <c r="B876" s="21"/>
      <c r="C876" s="21"/>
      <c r="D876" s="21"/>
    </row>
    <row r="877" spans="1:4" ht="13">
      <c r="A877" s="21"/>
      <c r="B877" s="21"/>
      <c r="C877" s="21"/>
      <c r="D877" s="21"/>
    </row>
    <row r="878" spans="1:4" ht="13">
      <c r="A878" s="21"/>
      <c r="B878" s="21"/>
      <c r="C878" s="21"/>
      <c r="D878" s="21"/>
    </row>
    <row r="879" spans="1:4" ht="13">
      <c r="A879" s="21"/>
      <c r="B879" s="21"/>
      <c r="C879" s="21"/>
      <c r="D879" s="21"/>
    </row>
    <row r="880" spans="1:4" ht="13">
      <c r="A880" s="21"/>
      <c r="B880" s="21"/>
      <c r="C880" s="21"/>
      <c r="D880" s="21"/>
    </row>
    <row r="881" spans="1:4" ht="13">
      <c r="A881" s="21"/>
      <c r="B881" s="21"/>
      <c r="C881" s="21"/>
      <c r="D881" s="21"/>
    </row>
    <row r="882" spans="1:4" ht="13">
      <c r="A882" s="21"/>
      <c r="B882" s="21"/>
      <c r="C882" s="21"/>
      <c r="D882" s="21"/>
    </row>
    <row r="883" spans="1:4" ht="13">
      <c r="A883" s="21"/>
      <c r="B883" s="21"/>
      <c r="C883" s="21"/>
      <c r="D883" s="21"/>
    </row>
    <row r="884" spans="1:4" ht="13">
      <c r="A884" s="21"/>
      <c r="B884" s="21"/>
      <c r="C884" s="21"/>
      <c r="D884" s="21"/>
    </row>
    <row r="885" spans="1:4" ht="13">
      <c r="A885" s="21"/>
      <c r="B885" s="21"/>
      <c r="C885" s="21"/>
      <c r="D885" s="21"/>
    </row>
    <row r="886" spans="1:4" ht="13">
      <c r="A886" s="21"/>
      <c r="B886" s="21"/>
      <c r="C886" s="21"/>
      <c r="D886" s="21"/>
    </row>
    <row r="887" spans="1:4" ht="13">
      <c r="A887" s="21"/>
      <c r="B887" s="21"/>
      <c r="C887" s="21"/>
      <c r="D887" s="21"/>
    </row>
    <row r="888" spans="1:4" ht="13">
      <c r="A888" s="21"/>
      <c r="B888" s="21"/>
      <c r="C888" s="21"/>
      <c r="D888" s="21"/>
    </row>
    <row r="889" spans="1:4" ht="13">
      <c r="A889" s="21"/>
      <c r="B889" s="21"/>
      <c r="C889" s="21"/>
      <c r="D889" s="21"/>
    </row>
    <row r="890" spans="1:4" ht="13">
      <c r="A890" s="21"/>
      <c r="B890" s="21"/>
      <c r="C890" s="21"/>
      <c r="D890" s="21"/>
    </row>
    <row r="891" spans="1:4" ht="13">
      <c r="A891" s="21"/>
      <c r="B891" s="21"/>
      <c r="C891" s="21"/>
      <c r="D891" s="21"/>
    </row>
    <row r="892" spans="1:4" ht="13">
      <c r="A892" s="21"/>
      <c r="B892" s="21"/>
      <c r="C892" s="21"/>
      <c r="D892" s="21"/>
    </row>
    <row r="893" spans="1:4" ht="13">
      <c r="A893" s="21"/>
      <c r="B893" s="21"/>
      <c r="C893" s="21"/>
      <c r="D893" s="21"/>
    </row>
    <row r="894" spans="1:4" ht="13">
      <c r="A894" s="21"/>
      <c r="B894" s="21"/>
      <c r="C894" s="21"/>
      <c r="D894" s="21"/>
    </row>
    <row r="895" spans="1:4" ht="13">
      <c r="A895" s="21"/>
      <c r="B895" s="21"/>
      <c r="C895" s="21"/>
      <c r="D895" s="21"/>
    </row>
    <row r="896" spans="1:4" ht="13">
      <c r="A896" s="21"/>
      <c r="B896" s="21"/>
      <c r="C896" s="21"/>
      <c r="D896" s="21"/>
    </row>
    <row r="897" spans="1:4" ht="13">
      <c r="A897" s="21"/>
      <c r="B897" s="21"/>
      <c r="C897" s="21"/>
      <c r="D897" s="21"/>
    </row>
    <row r="898" spans="1:4" ht="13">
      <c r="A898" s="21"/>
      <c r="B898" s="21"/>
      <c r="C898" s="21"/>
      <c r="D898" s="21"/>
    </row>
    <row r="899" spans="1:4" ht="13">
      <c r="A899" s="21"/>
      <c r="B899" s="21"/>
      <c r="C899" s="21"/>
      <c r="D899" s="21"/>
    </row>
    <row r="900" spans="1:4" ht="13">
      <c r="A900" s="21"/>
      <c r="B900" s="21"/>
      <c r="C900" s="21"/>
      <c r="D900" s="21"/>
    </row>
    <row r="901" spans="1:4" ht="13">
      <c r="A901" s="21"/>
      <c r="B901" s="21"/>
      <c r="C901" s="21"/>
      <c r="D901" s="21"/>
    </row>
    <row r="902" spans="1:4" ht="13">
      <c r="A902" s="21"/>
      <c r="B902" s="21"/>
      <c r="C902" s="21"/>
      <c r="D902" s="21"/>
    </row>
    <row r="903" spans="1:4" ht="13">
      <c r="A903" s="21"/>
      <c r="B903" s="21"/>
      <c r="C903" s="21"/>
      <c r="D903" s="21"/>
    </row>
    <row r="904" spans="1:4" ht="13">
      <c r="A904" s="21"/>
      <c r="B904" s="21"/>
      <c r="C904" s="21"/>
      <c r="D904" s="21"/>
    </row>
    <row r="905" spans="1:4" ht="13">
      <c r="A905" s="21"/>
      <c r="B905" s="21"/>
      <c r="C905" s="21"/>
      <c r="D905" s="21"/>
    </row>
    <row r="906" spans="1:4" ht="13">
      <c r="A906" s="21"/>
      <c r="B906" s="21"/>
      <c r="C906" s="21"/>
      <c r="D906" s="21"/>
    </row>
    <row r="907" spans="1:4" ht="13">
      <c r="A907" s="21"/>
      <c r="B907" s="21"/>
      <c r="C907" s="21"/>
      <c r="D907" s="21"/>
    </row>
    <row r="908" spans="1:4" ht="13">
      <c r="A908" s="21"/>
      <c r="B908" s="21"/>
      <c r="C908" s="21"/>
      <c r="D908" s="21"/>
    </row>
    <row r="909" spans="1:4" ht="13">
      <c r="A909" s="21"/>
      <c r="B909" s="21"/>
      <c r="C909" s="21"/>
      <c r="D909" s="21"/>
    </row>
    <row r="910" spans="1:4" ht="13">
      <c r="A910" s="21"/>
      <c r="B910" s="21"/>
      <c r="C910" s="21"/>
      <c r="D910" s="21"/>
    </row>
    <row r="911" spans="1:4" ht="13">
      <c r="A911" s="21"/>
      <c r="B911" s="21"/>
      <c r="C911" s="21"/>
      <c r="D911" s="21"/>
    </row>
    <row r="912" spans="1:4" ht="13">
      <c r="A912" s="21"/>
      <c r="B912" s="21"/>
      <c r="C912" s="21"/>
      <c r="D912" s="21"/>
    </row>
    <row r="913" spans="1:4" ht="13">
      <c r="A913" s="21"/>
      <c r="B913" s="21"/>
      <c r="C913" s="21"/>
      <c r="D913" s="21"/>
    </row>
    <row r="914" spans="1:4" ht="13">
      <c r="A914" s="21"/>
      <c r="B914" s="21"/>
      <c r="C914" s="21"/>
      <c r="D914" s="21"/>
    </row>
    <row r="915" spans="1:4" ht="13">
      <c r="A915" s="21"/>
      <c r="B915" s="21"/>
      <c r="C915" s="21"/>
      <c r="D915" s="21"/>
    </row>
    <row r="916" spans="1:4" ht="13">
      <c r="A916" s="21"/>
      <c r="B916" s="21"/>
      <c r="C916" s="21"/>
      <c r="D916" s="21"/>
    </row>
    <row r="917" spans="1:4" ht="13">
      <c r="A917" s="21"/>
      <c r="B917" s="21"/>
      <c r="C917" s="21"/>
      <c r="D917" s="21"/>
    </row>
    <row r="918" spans="1:4" ht="13">
      <c r="A918" s="21"/>
      <c r="B918" s="21"/>
      <c r="C918" s="21"/>
      <c r="D918" s="21"/>
    </row>
    <row r="919" spans="1:4" ht="13">
      <c r="A919" s="21"/>
      <c r="B919" s="21"/>
      <c r="C919" s="21"/>
      <c r="D919" s="21"/>
    </row>
    <row r="920" spans="1:4" ht="13">
      <c r="A920" s="21"/>
      <c r="B920" s="21"/>
      <c r="C920" s="21"/>
      <c r="D920" s="21"/>
    </row>
    <row r="921" spans="1:4" ht="13">
      <c r="A921" s="21"/>
      <c r="B921" s="21"/>
      <c r="C921" s="21"/>
      <c r="D921" s="21"/>
    </row>
    <row r="922" spans="1:4" ht="13">
      <c r="A922" s="21"/>
      <c r="B922" s="21"/>
      <c r="C922" s="21"/>
      <c r="D922" s="21"/>
    </row>
    <row r="923" spans="1:4" ht="13">
      <c r="A923" s="21"/>
      <c r="B923" s="21"/>
      <c r="C923" s="21"/>
      <c r="D923" s="21"/>
    </row>
    <row r="924" spans="1:4" ht="13">
      <c r="A924" s="21"/>
      <c r="B924" s="21"/>
      <c r="C924" s="21"/>
      <c r="D924" s="21"/>
    </row>
    <row r="925" spans="1:4" ht="13">
      <c r="A925" s="21"/>
      <c r="B925" s="21"/>
      <c r="C925" s="21"/>
      <c r="D925" s="21"/>
    </row>
    <row r="926" spans="1:4" ht="13">
      <c r="A926" s="21"/>
      <c r="B926" s="21"/>
      <c r="C926" s="21"/>
      <c r="D926" s="21"/>
    </row>
    <row r="927" spans="1:4" ht="13">
      <c r="A927" s="21"/>
      <c r="B927" s="21"/>
      <c r="C927" s="21"/>
      <c r="D927" s="21"/>
    </row>
    <row r="928" spans="1:4" ht="13">
      <c r="A928" s="21"/>
      <c r="B928" s="21"/>
      <c r="C928" s="21"/>
      <c r="D928" s="21"/>
    </row>
    <row r="929" spans="1:4" ht="13">
      <c r="A929" s="21"/>
      <c r="B929" s="21"/>
      <c r="C929" s="21"/>
      <c r="D929" s="21"/>
    </row>
    <row r="930" spans="1:4" ht="13">
      <c r="A930" s="21"/>
      <c r="B930" s="21"/>
      <c r="C930" s="21"/>
      <c r="D930" s="21"/>
    </row>
    <row r="931" spans="1:4" ht="13">
      <c r="A931" s="21"/>
      <c r="B931" s="21"/>
      <c r="C931" s="21"/>
      <c r="D931" s="21"/>
    </row>
    <row r="932" spans="1:4" ht="13">
      <c r="A932" s="21"/>
      <c r="B932" s="21"/>
      <c r="C932" s="21"/>
      <c r="D932" s="21"/>
    </row>
    <row r="933" spans="1:4" ht="13">
      <c r="A933" s="21"/>
      <c r="B933" s="21"/>
      <c r="C933" s="21"/>
      <c r="D933" s="21"/>
    </row>
    <row r="934" spans="1:4" ht="13">
      <c r="A934" s="21"/>
      <c r="B934" s="21"/>
      <c r="C934" s="21"/>
      <c r="D934" s="21"/>
    </row>
    <row r="935" spans="1:4" ht="13">
      <c r="A935" s="21"/>
      <c r="B935" s="21"/>
      <c r="C935" s="21"/>
      <c r="D935" s="21"/>
    </row>
    <row r="936" spans="1:4" ht="13">
      <c r="A936" s="21"/>
      <c r="B936" s="21"/>
      <c r="C936" s="21"/>
      <c r="D936" s="21"/>
    </row>
    <row r="937" spans="1:4" ht="13">
      <c r="A937" s="21"/>
      <c r="B937" s="21"/>
      <c r="C937" s="21"/>
      <c r="D937" s="21"/>
    </row>
    <row r="938" spans="1:4" ht="13">
      <c r="A938" s="21"/>
      <c r="B938" s="21"/>
      <c r="C938" s="21"/>
      <c r="D938" s="21"/>
    </row>
    <row r="939" spans="1:4" ht="13">
      <c r="A939" s="21"/>
      <c r="B939" s="21"/>
      <c r="C939" s="21"/>
      <c r="D939" s="21"/>
    </row>
    <row r="940" spans="1:4" ht="13">
      <c r="A940" s="21"/>
      <c r="B940" s="21"/>
      <c r="C940" s="21"/>
      <c r="D940" s="21"/>
    </row>
    <row r="941" spans="1:4" ht="13">
      <c r="A941" s="21"/>
      <c r="B941" s="21"/>
      <c r="C941" s="21"/>
      <c r="D941" s="21"/>
    </row>
    <row r="942" spans="1:4" ht="13">
      <c r="A942" s="21"/>
      <c r="B942" s="21"/>
      <c r="C942" s="21"/>
      <c r="D942" s="21"/>
    </row>
    <row r="943" spans="1:4" ht="13">
      <c r="A943" s="21"/>
      <c r="B943" s="21"/>
      <c r="C943" s="21"/>
      <c r="D943" s="21"/>
    </row>
    <row r="944" spans="1:4" ht="13">
      <c r="A944" s="21"/>
      <c r="B944" s="21"/>
      <c r="C944" s="21"/>
      <c r="D944" s="21"/>
    </row>
    <row r="945" spans="1:4" ht="13">
      <c r="A945" s="21"/>
      <c r="B945" s="21"/>
      <c r="C945" s="21"/>
      <c r="D945" s="21"/>
    </row>
    <row r="946" spans="1:4" ht="13">
      <c r="A946" s="21"/>
      <c r="B946" s="21"/>
      <c r="C946" s="21"/>
      <c r="D946" s="21"/>
    </row>
    <row r="947" spans="1:4" ht="13">
      <c r="A947" s="21"/>
      <c r="B947" s="21"/>
      <c r="C947" s="21"/>
      <c r="D947" s="21"/>
    </row>
    <row r="948" spans="1:4" ht="13">
      <c r="A948" s="21"/>
      <c r="B948" s="21"/>
      <c r="C948" s="21"/>
      <c r="D948" s="21"/>
    </row>
    <row r="949" spans="1:4" ht="13">
      <c r="A949" s="21"/>
      <c r="B949" s="21"/>
      <c r="C949" s="21"/>
      <c r="D949" s="21"/>
    </row>
    <row r="950" spans="1:4" ht="13">
      <c r="A950" s="21"/>
      <c r="B950" s="21"/>
      <c r="C950" s="21"/>
      <c r="D950" s="21"/>
    </row>
    <row r="951" spans="1:4" ht="13">
      <c r="A951" s="21"/>
      <c r="B951" s="21"/>
      <c r="C951" s="21"/>
      <c r="D951" s="21"/>
    </row>
    <row r="952" spans="1:4" ht="13">
      <c r="A952" s="21"/>
      <c r="B952" s="21"/>
      <c r="C952" s="21"/>
      <c r="D952" s="21"/>
    </row>
    <row r="953" spans="1:4" ht="13">
      <c r="A953" s="21"/>
      <c r="B953" s="21"/>
      <c r="C953" s="21"/>
      <c r="D953" s="21"/>
    </row>
    <row r="954" spans="1:4" ht="13">
      <c r="A954" s="21"/>
      <c r="B954" s="21"/>
      <c r="C954" s="21"/>
      <c r="D954" s="21"/>
    </row>
    <row r="955" spans="1:4" ht="13">
      <c r="A955" s="21"/>
      <c r="B955" s="21"/>
      <c r="C955" s="21"/>
      <c r="D955" s="21"/>
    </row>
    <row r="956" spans="1:4" ht="13">
      <c r="A956" s="21"/>
      <c r="B956" s="21"/>
      <c r="C956" s="21"/>
      <c r="D956" s="21"/>
    </row>
    <row r="957" spans="1:4" ht="13">
      <c r="A957" s="21"/>
      <c r="B957" s="21"/>
      <c r="C957" s="21"/>
      <c r="D957" s="21"/>
    </row>
    <row r="958" spans="1:4" ht="13">
      <c r="A958" s="21"/>
      <c r="B958" s="21"/>
      <c r="C958" s="21"/>
      <c r="D958" s="21"/>
    </row>
    <row r="959" spans="1:4" ht="13">
      <c r="A959" s="21"/>
      <c r="B959" s="21"/>
      <c r="C959" s="21"/>
      <c r="D959" s="21"/>
    </row>
    <row r="960" spans="1:4" ht="13">
      <c r="A960" s="21"/>
      <c r="B960" s="21"/>
      <c r="C960" s="21"/>
      <c r="D960" s="21"/>
    </row>
    <row r="961" spans="1:4" ht="13">
      <c r="A961" s="21"/>
      <c r="B961" s="21"/>
      <c r="C961" s="21"/>
      <c r="D961" s="21"/>
    </row>
    <row r="962" spans="1:4" ht="13">
      <c r="A962" s="21"/>
      <c r="B962" s="21"/>
      <c r="C962" s="21"/>
      <c r="D962" s="21"/>
    </row>
    <row r="963" spans="1:4" ht="13">
      <c r="A963" s="21"/>
      <c r="B963" s="21"/>
      <c r="C963" s="21"/>
      <c r="D963" s="21"/>
    </row>
    <row r="964" spans="1:4" ht="13">
      <c r="A964" s="21"/>
      <c r="B964" s="21"/>
      <c r="C964" s="21"/>
      <c r="D964" s="21"/>
    </row>
    <row r="965" spans="1:4" ht="13">
      <c r="A965" s="21"/>
      <c r="B965" s="21"/>
      <c r="C965" s="21"/>
      <c r="D965" s="21"/>
    </row>
    <row r="966" spans="1:4" ht="13">
      <c r="A966" s="21"/>
      <c r="B966" s="21"/>
      <c r="C966" s="21"/>
      <c r="D966" s="21"/>
    </row>
    <row r="967" spans="1:4" ht="13">
      <c r="A967" s="21"/>
      <c r="B967" s="21"/>
      <c r="C967" s="21"/>
      <c r="D967" s="21"/>
    </row>
    <row r="968" spans="1:4" ht="13">
      <c r="A968" s="21"/>
      <c r="B968" s="21"/>
      <c r="C968" s="21"/>
      <c r="D968" s="21"/>
    </row>
    <row r="969" spans="1:4" ht="13">
      <c r="A969" s="21"/>
      <c r="B969" s="21"/>
      <c r="C969" s="21"/>
      <c r="D969" s="21"/>
    </row>
    <row r="970" spans="1:4" ht="13">
      <c r="A970" s="21"/>
      <c r="B970" s="21"/>
      <c r="C970" s="21"/>
      <c r="D970" s="21"/>
    </row>
    <row r="971" spans="1:4" ht="13">
      <c r="A971" s="21"/>
      <c r="B971" s="21"/>
      <c r="C971" s="21"/>
      <c r="D971" s="21"/>
    </row>
    <row r="972" spans="1:4" ht="13">
      <c r="A972" s="21"/>
      <c r="B972" s="21"/>
      <c r="C972" s="21"/>
      <c r="D972" s="21"/>
    </row>
    <row r="973" spans="1:4" ht="13">
      <c r="A973" s="21"/>
      <c r="B973" s="21"/>
      <c r="C973" s="21"/>
      <c r="D973" s="21"/>
    </row>
    <row r="974" spans="1:4" ht="13">
      <c r="A974" s="21"/>
      <c r="B974" s="21"/>
      <c r="C974" s="21"/>
      <c r="D974" s="21"/>
    </row>
    <row r="975" spans="1:4" ht="13">
      <c r="A975" s="21"/>
      <c r="B975" s="21"/>
      <c r="C975" s="21"/>
      <c r="D975" s="21"/>
    </row>
    <row r="976" spans="1:4" ht="13">
      <c r="A976" s="21"/>
      <c r="B976" s="21"/>
      <c r="C976" s="21"/>
      <c r="D976" s="21"/>
    </row>
    <row r="977" spans="1:4" ht="13">
      <c r="A977" s="21"/>
      <c r="B977" s="21"/>
      <c r="C977" s="21"/>
      <c r="D977" s="21"/>
    </row>
    <row r="978" spans="1:4" ht="13">
      <c r="A978" s="21"/>
      <c r="B978" s="21"/>
      <c r="C978" s="21"/>
      <c r="D978" s="21"/>
    </row>
    <row r="979" spans="1:4" ht="13">
      <c r="A979" s="21"/>
      <c r="B979" s="21"/>
      <c r="C979" s="21"/>
      <c r="D979" s="21"/>
    </row>
    <row r="980" spans="1:4" ht="13">
      <c r="A980" s="21"/>
      <c r="B980" s="21"/>
      <c r="C980" s="21"/>
      <c r="D980" s="21"/>
    </row>
    <row r="981" spans="1:4" ht="13">
      <c r="A981" s="21"/>
      <c r="B981" s="21"/>
      <c r="C981" s="21"/>
      <c r="D981" s="21"/>
    </row>
    <row r="982" spans="1:4" ht="13">
      <c r="A982" s="21"/>
      <c r="B982" s="21"/>
      <c r="C982" s="21"/>
      <c r="D982" s="21"/>
    </row>
    <row r="983" spans="1:4" ht="13">
      <c r="A983" s="21"/>
      <c r="B983" s="21"/>
      <c r="C983" s="21"/>
      <c r="D983" s="21"/>
    </row>
    <row r="984" spans="1:4" ht="13">
      <c r="A984" s="21"/>
      <c r="B984" s="21"/>
      <c r="C984" s="21"/>
      <c r="D984" s="21"/>
    </row>
    <row r="985" spans="1:4" ht="13">
      <c r="A985" s="21"/>
      <c r="B985" s="21"/>
      <c r="C985" s="21"/>
      <c r="D985" s="21"/>
    </row>
    <row r="986" spans="1:4" ht="13">
      <c r="A986" s="21"/>
      <c r="B986" s="21"/>
      <c r="C986" s="21"/>
      <c r="D986" s="21"/>
    </row>
    <row r="987" spans="1:4" ht="13">
      <c r="A987" s="21"/>
      <c r="B987" s="21"/>
      <c r="C987" s="21"/>
      <c r="D987" s="21"/>
    </row>
    <row r="988" spans="1:4" ht="13">
      <c r="A988" s="21"/>
      <c r="B988" s="21"/>
      <c r="C988" s="21"/>
      <c r="D988" s="21"/>
    </row>
    <row r="989" spans="1:4" ht="13">
      <c r="A989" s="21"/>
      <c r="B989" s="21"/>
      <c r="C989" s="21"/>
      <c r="D989" s="21"/>
    </row>
    <row r="990" spans="1:4" ht="13">
      <c r="A990" s="21"/>
      <c r="B990" s="21"/>
      <c r="C990" s="21"/>
      <c r="D990" s="21"/>
    </row>
    <row r="991" spans="1:4" ht="13">
      <c r="A991" s="21"/>
      <c r="B991" s="21"/>
      <c r="C991" s="21"/>
      <c r="D991" s="21"/>
    </row>
    <row r="992" spans="1:4" ht="13">
      <c r="A992" s="21"/>
      <c r="B992" s="21"/>
      <c r="C992" s="21"/>
      <c r="D992" s="21"/>
    </row>
    <row r="993" spans="1:4" ht="13">
      <c r="A993" s="21"/>
      <c r="B993" s="21"/>
      <c r="C993" s="21"/>
      <c r="D993" s="21"/>
    </row>
    <row r="994" spans="1:4" ht="13">
      <c r="A994" s="21"/>
      <c r="B994" s="21"/>
      <c r="C994" s="21"/>
      <c r="D994" s="21"/>
    </row>
    <row r="995" spans="1:4" ht="13">
      <c r="A995" s="21"/>
      <c r="B995" s="21"/>
      <c r="C995" s="21"/>
      <c r="D995" s="21"/>
    </row>
    <row r="996" spans="1:4" ht="13">
      <c r="A996" s="21"/>
      <c r="B996" s="21"/>
      <c r="C996" s="21"/>
      <c r="D996" s="21"/>
    </row>
    <row r="997" spans="1:4" ht="13">
      <c r="A997" s="21"/>
      <c r="B997" s="21"/>
      <c r="C997" s="21"/>
      <c r="D997" s="21"/>
    </row>
    <row r="998" spans="1:4" ht="13">
      <c r="A998" s="21"/>
      <c r="B998" s="21"/>
      <c r="C998" s="21"/>
      <c r="D998" s="21"/>
    </row>
    <row r="999" spans="1:4" ht="13">
      <c r="A999" s="21"/>
      <c r="B999" s="21"/>
      <c r="C999" s="21"/>
      <c r="D999" s="21"/>
    </row>
  </sheetData>
  <mergeCells count="2">
    <mergeCell ref="F2:J16"/>
    <mergeCell ref="F18:J33"/>
  </mergeCells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998"/>
  <sheetViews>
    <sheetView workbookViewId="0">
      <selection sqref="A1:XFD1048576"/>
    </sheetView>
  </sheetViews>
  <sheetFormatPr baseColWidth="10" defaultColWidth="12.6640625" defaultRowHeight="15.75" customHeight="1"/>
  <cols>
    <col min="1" max="1" width="34.5" bestFit="1" customWidth="1"/>
    <col min="2" max="2" width="6.83203125" bestFit="1" customWidth="1"/>
    <col min="3" max="3" width="6.6640625" bestFit="1" customWidth="1"/>
    <col min="4" max="4" width="4.83203125" customWidth="1"/>
  </cols>
  <sheetData>
    <row r="1" spans="1:3" ht="15.75" customHeight="1">
      <c r="A1" s="23" t="str">
        <f ca="1">IFERROR(__xludf.DUMMYFUNCTION("IMPORTRANGE(""https://docs.google.com/spreadsheets/d/1eaVzK6FcHCiSWH6vlneKycaHdBQH67V1d-FjgY0Xsl4/edit?gid=1464880161#gid=1464880161"",""Refur Samsung!A:c"")"),"Model")</f>
        <v>Model</v>
      </c>
      <c r="B1" s="24" t="str">
        <f ca="1">IFERROR(__xludf.DUMMYFUNCTION("""COMPUTED_VALUE"""),"Grade")</f>
        <v>Grade</v>
      </c>
      <c r="C1" s="24" t="str">
        <f ca="1">IFERROR(__xludf.DUMMYFUNCTION("""COMPUTED_VALUE"""),"Price")</f>
        <v>Price</v>
      </c>
    </row>
    <row r="2" spans="1:3" ht="15.75" customHeight="1">
      <c r="A2" s="25" t="str">
        <f ca="1">IFERROR(__xludf.DUMMYFUNCTION("""COMPUTED_VALUE"""),"Samsung Galaxy S24 8+128")</f>
        <v>Samsung Galaxy S24 8+128</v>
      </c>
      <c r="B2" s="24" t="str">
        <f ca="1">IFERROR(__xludf.DUMMYFUNCTION("""COMPUTED_VALUE"""),"A+")</f>
        <v>A+</v>
      </c>
      <c r="C2" s="24">
        <f ca="1">IFERROR(__xludf.DUMMYFUNCTION("""COMPUTED_VALUE"""),365.688015881308)</f>
        <v>365.68801588130799</v>
      </c>
    </row>
    <row r="3" spans="1:3" ht="15.75" customHeight="1">
      <c r="A3" s="25" t="str">
        <f ca="1">IFERROR(__xludf.DUMMYFUNCTION("""COMPUTED_VALUE"""),"Samsung Galaxy S24+ 12+256")</f>
        <v>Samsung Galaxy S24+ 12+256</v>
      </c>
      <c r="B3" s="24" t="str">
        <f ca="1">IFERROR(__xludf.DUMMYFUNCTION("""COMPUTED_VALUE"""),"A+")</f>
        <v>A+</v>
      </c>
      <c r="C3" s="24">
        <f ca="1">IFERROR(__xludf.DUMMYFUNCTION("""COMPUTED_VALUE"""),451.259011597534)</f>
        <v>451.25901159753403</v>
      </c>
    </row>
    <row r="4" spans="1:3" ht="15.75" customHeight="1">
      <c r="A4" s="25" t="str">
        <f ca="1">IFERROR(__xludf.DUMMYFUNCTION("""COMPUTED_VALUE"""),"Samsung Galaxy S24 Ultra 12+256")</f>
        <v>Samsung Galaxy S24 Ultra 12+256</v>
      </c>
      <c r="B4" s="24" t="str">
        <f ca="1">IFERROR(__xludf.DUMMYFUNCTION("""COMPUTED_VALUE"""),"A+")</f>
        <v>A+</v>
      </c>
      <c r="C4" s="24">
        <f ca="1">IFERROR(__xludf.DUMMYFUNCTION("""COMPUTED_VALUE"""),594.608713823007)</f>
        <v>594.60871382300695</v>
      </c>
    </row>
    <row r="5" spans="1:3" ht="15.75" customHeight="1">
      <c r="A5" s="25" t="str">
        <f ca="1">IFERROR(__xludf.DUMMYFUNCTION("""COMPUTED_VALUE"""),"Samsung Galaxy Note10+ 5G 12+256")</f>
        <v>Samsung Galaxy Note10+ 5G 12+256</v>
      </c>
      <c r="B5" s="24" t="str">
        <f ca="1">IFERROR(__xludf.DUMMYFUNCTION("""COMPUTED_VALUE"""),"A+")</f>
        <v>A+</v>
      </c>
      <c r="C5" s="24">
        <f ca="1">IFERROR(__xludf.DUMMYFUNCTION("""COMPUTED_VALUE"""),188.695016194755)</f>
        <v>188.695016194755</v>
      </c>
    </row>
    <row r="6" spans="1:3" ht="15.75" customHeight="1">
      <c r="A6" s="25" t="str">
        <f ca="1">IFERROR(__xludf.DUMMYFUNCTION("""COMPUTED_VALUE"""),"Samsung Galaxy Note20 Ultra 12+512")</f>
        <v>Samsung Galaxy Note20 Ultra 12+512</v>
      </c>
      <c r="B6" s="24" t="str">
        <f ca="1">IFERROR(__xludf.DUMMYFUNCTION("""COMPUTED_VALUE"""),"A+")</f>
        <v>A+</v>
      </c>
      <c r="C6" s="24">
        <f ca="1">IFERROR(__xludf.DUMMYFUNCTION("""COMPUTED_VALUE"""),315.95444572145)</f>
        <v>315.95444572144999</v>
      </c>
    </row>
    <row r="7" spans="1:3" ht="15.75" customHeight="1">
      <c r="A7" s="25" t="str">
        <f ca="1">IFERROR(__xludf.DUMMYFUNCTION("""COMPUTED_VALUE"""),"Samsung Galaxy Note9 6+128")</f>
        <v>Samsung Galaxy Note9 6+128</v>
      </c>
      <c r="B7" s="24" t="str">
        <f ca="1">IFERROR(__xludf.DUMMYFUNCTION("""COMPUTED_VALUE"""),"A+")</f>
        <v>A+</v>
      </c>
      <c r="C7" s="24">
        <f ca="1">IFERROR(__xludf.DUMMYFUNCTION("""COMPUTED_VALUE"""),127.716713683697)</f>
        <v>127.71671368369699</v>
      </c>
    </row>
    <row r="8" spans="1:3" ht="15.75" customHeight="1">
      <c r="A8" s="25" t="str">
        <f ca="1">IFERROR(__xludf.DUMMYFUNCTION("""COMPUTED_VALUE"""),"Samsung Galaxy S10 6+128")</f>
        <v>Samsung Galaxy S10 6+128</v>
      </c>
      <c r="B8" s="24" t="str">
        <f ca="1">IFERROR(__xludf.DUMMYFUNCTION("""COMPUTED_VALUE"""),"A+")</f>
        <v>A+</v>
      </c>
      <c r="C8" s="24">
        <f ca="1">IFERROR(__xludf.DUMMYFUNCTION("""COMPUTED_VALUE"""),129.109810887054)</f>
        <v>129.10981088705401</v>
      </c>
    </row>
    <row r="9" spans="1:3" ht="15.75" customHeight="1">
      <c r="A9" s="25" t="str">
        <f ca="1">IFERROR(__xludf.DUMMYFUNCTION("""COMPUTED_VALUE"""),"Samsung Galaxy S10+ 8+128")</f>
        <v>Samsung Galaxy S10+ 8+128</v>
      </c>
      <c r="B9" s="24" t="str">
        <f ca="1">IFERROR(__xludf.DUMMYFUNCTION("""COMPUTED_VALUE"""),"A+")</f>
        <v>A+</v>
      </c>
      <c r="C9" s="24">
        <f ca="1">IFERROR(__xludf.DUMMYFUNCTION("""COMPUTED_VALUE"""),154.185560547487)</f>
        <v>154.185560547487</v>
      </c>
    </row>
    <row r="10" spans="1:3" ht="15.75" customHeight="1">
      <c r="A10" s="25" t="str">
        <f ca="1">IFERROR(__xludf.DUMMYFUNCTION("""COMPUTED_VALUE"""),"Samsung Galaxy S20 Ultra 12+128")</f>
        <v>Samsung Galaxy S20 Ultra 12+128</v>
      </c>
      <c r="B10" s="24" t="str">
        <f ca="1">IFERROR(__xludf.DUMMYFUNCTION("""COMPUTED_VALUE"""),"A+")</f>
        <v>A+</v>
      </c>
      <c r="C10" s="24">
        <f ca="1">IFERROR(__xludf.DUMMYFUNCTION("""COMPUTED_VALUE"""),244.279594608713)</f>
        <v>244.27959460871301</v>
      </c>
    </row>
    <row r="11" spans="1:3" ht="15.75" customHeight="1">
      <c r="A11" s="25" t="str">
        <f ca="1">IFERROR(__xludf.DUMMYFUNCTION("""COMPUTED_VALUE"""),"Samsung Galaxy S21+ 5G 8+128")</f>
        <v>Samsung Galaxy S21+ 5G 8+128</v>
      </c>
      <c r="B11" s="24" t="str">
        <f ca="1">IFERROR(__xludf.DUMMYFUNCTION("""COMPUTED_VALUE"""),"A+")</f>
        <v>A+</v>
      </c>
      <c r="C11" s="24">
        <f ca="1">IFERROR(__xludf.DUMMYFUNCTION("""COMPUTED_VALUE"""),156.971754954201)</f>
        <v>156.971754954201</v>
      </c>
    </row>
    <row r="12" spans="1:3" ht="15.75" customHeight="1">
      <c r="A12" s="25" t="str">
        <f ca="1">IFERROR(__xludf.DUMMYFUNCTION("""COMPUTED_VALUE"""),"Samsung Galaxy S21+ 5G 8+256")</f>
        <v>Samsung Galaxy S21+ 5G 8+256</v>
      </c>
      <c r="B12" s="24" t="str">
        <f ca="1">IFERROR(__xludf.DUMMYFUNCTION("""COMPUTED_VALUE"""),"A+")</f>
        <v>A+</v>
      </c>
      <c r="C12" s="24">
        <f ca="1">IFERROR(__xludf.DUMMYFUNCTION("""COMPUTED_VALUE"""),168.813081182739)</f>
        <v>168.81308118273901</v>
      </c>
    </row>
    <row r="13" spans="1:3" ht="15.75" customHeight="1">
      <c r="A13" s="25" t="str">
        <f ca="1">IFERROR(__xludf.DUMMYFUNCTION("""COMPUTED_VALUE"""),"Samsung Galaxy S21 FE 5G 6+128")</f>
        <v>Samsung Galaxy S21 FE 5G 6+128</v>
      </c>
      <c r="B13" s="24" t="str">
        <f ca="1">IFERROR(__xludf.DUMMYFUNCTION("""COMPUTED_VALUE"""),"A+")</f>
        <v>A+</v>
      </c>
      <c r="C13" s="24">
        <f ca="1">IFERROR(__xludf.DUMMYFUNCTION("""COMPUTED_VALUE"""),144.433880123985)</f>
        <v>144.43388012398501</v>
      </c>
    </row>
    <row r="14" spans="1:3" ht="15.75" customHeight="1">
      <c r="A14" s="25" t="str">
        <f ca="1">IFERROR(__xludf.DUMMYFUNCTION("""COMPUTED_VALUE"""),"Samsung Galaxy S21 5G 8+128")</f>
        <v>Samsung Galaxy S21 5G 8+128</v>
      </c>
      <c r="B14" s="24" t="str">
        <f ca="1">IFERROR(__xludf.DUMMYFUNCTION("""COMPUTED_VALUE"""),"A+")</f>
        <v>A+</v>
      </c>
      <c r="C14" s="24">
        <f ca="1">IFERROR(__xludf.DUMMYFUNCTION("""COMPUTED_VALUE"""),152.095914742451)</f>
        <v>152.09591474245099</v>
      </c>
    </row>
    <row r="15" spans="1:3" ht="15.75" customHeight="1">
      <c r="A15" s="25" t="str">
        <f ca="1">IFERROR(__xludf.DUMMYFUNCTION("""COMPUTED_VALUE"""),"Samsung Galaxy S21 5G 8+256")</f>
        <v>Samsung Galaxy S21 5G 8+256</v>
      </c>
      <c r="B15" s="24" t="str">
        <f ca="1">IFERROR(__xludf.DUMMYFUNCTION("""COMPUTED_VALUE"""),"A+")</f>
        <v>A+</v>
      </c>
      <c r="C15" s="24">
        <f ca="1">IFERROR(__xludf.DUMMYFUNCTION("""COMPUTED_VALUE"""),168.813081182739)</f>
        <v>168.81308118273901</v>
      </c>
    </row>
    <row r="16" spans="1:3" ht="15.75" customHeight="1">
      <c r="A16" s="25" t="str">
        <f ca="1">IFERROR(__xludf.DUMMYFUNCTION("""COMPUTED_VALUE"""),"Samsung Galaxy S21 Ultra 5G 12+128")</f>
        <v>Samsung Galaxy S21 Ultra 5G 12+128</v>
      </c>
      <c r="B16" s="24" t="str">
        <f ca="1">IFERROR(__xludf.DUMMYFUNCTION("""COMPUTED_VALUE"""),"A+")</f>
        <v>A+</v>
      </c>
      <c r="C16" s="24">
        <f ca="1">IFERROR(__xludf.DUMMYFUNCTION("""COMPUTED_VALUE"""),253.056106989865)</f>
        <v>253.05610698986499</v>
      </c>
    </row>
    <row r="17" spans="1:3" ht="15.75" customHeight="1">
      <c r="A17" s="25" t="str">
        <f ca="1">IFERROR(__xludf.DUMMYFUNCTION("""COMPUTED_VALUE"""),"Samsung Galaxy S21 Ultra 5G 12+256")</f>
        <v>Samsung Galaxy S21 Ultra 5G 12+256</v>
      </c>
      <c r="B17" s="24" t="str">
        <f ca="1">IFERROR(__xludf.DUMMYFUNCTION("""COMPUTED_VALUE"""),"A+")</f>
        <v>A+</v>
      </c>
      <c r="C17" s="24">
        <f ca="1">IFERROR(__xludf.DUMMYFUNCTION("""COMPUTED_VALUE"""),285.23665238742)</f>
        <v>285.23665238742001</v>
      </c>
    </row>
    <row r="18" spans="1:3" ht="15.75" customHeight="1">
      <c r="A18" s="25" t="str">
        <f ca="1">IFERROR(__xludf.DUMMYFUNCTION("""COMPUTED_VALUE"""),"Samsung Galaxy S22+ 5G 8+128")</f>
        <v>Samsung Galaxy S22+ 5G 8+128</v>
      </c>
      <c r="B18" s="24" t="str">
        <f ca="1">IFERROR(__xludf.DUMMYFUNCTION("""COMPUTED_VALUE"""),"A+")</f>
        <v>A+</v>
      </c>
      <c r="C18" s="24">
        <f ca="1">IFERROR(__xludf.DUMMYFUNCTION("""COMPUTED_VALUE"""),198.202904607669)</f>
        <v>198.20290460766901</v>
      </c>
    </row>
    <row r="19" spans="1:3" ht="15.75" customHeight="1">
      <c r="A19" s="25" t="str">
        <f ca="1">IFERROR(__xludf.DUMMYFUNCTION("""COMPUTED_VALUE"""),"Samsung Galaxy S22 5G 8+128")</f>
        <v>Samsung Galaxy S22 5G 8+128</v>
      </c>
      <c r="B19" s="24" t="str">
        <f ca="1">IFERROR(__xludf.DUMMYFUNCTION("""COMPUTED_VALUE"""),"A+")</f>
        <v>A+</v>
      </c>
      <c r="C19" s="24">
        <f ca="1">IFERROR(__xludf.DUMMYFUNCTION("""COMPUTED_VALUE"""),187.963640162992)</f>
        <v>187.96364016299199</v>
      </c>
    </row>
    <row r="20" spans="1:3" ht="15.75" customHeight="1">
      <c r="A20" s="25" t="str">
        <f ca="1">IFERROR(__xludf.DUMMYFUNCTION("""COMPUTED_VALUE"""),"Samsung Galaxy S22 Ultra 5G 8+128")</f>
        <v>Samsung Galaxy S22 Ultra 5G 8+128</v>
      </c>
      <c r="B20" s="24" t="str">
        <f ca="1">IFERROR(__xludf.DUMMYFUNCTION("""COMPUTED_VALUE"""),"A+")</f>
        <v>A+</v>
      </c>
      <c r="C20" s="24">
        <f ca="1">IFERROR(__xludf.DUMMYFUNCTION("""COMPUTED_VALUE"""),301.326925086197)</f>
        <v>301.32692508619698</v>
      </c>
    </row>
    <row r="21" spans="1:3" ht="15.75" customHeight="1">
      <c r="A21" s="25" t="str">
        <f ca="1">IFERROR(__xludf.DUMMYFUNCTION("""COMPUTED_VALUE"""),"Samsung Galaxy S23 8+128")</f>
        <v>Samsung Galaxy S23 8+128</v>
      </c>
      <c r="B21" s="24" t="str">
        <f ca="1">IFERROR(__xludf.DUMMYFUNCTION("""COMPUTED_VALUE"""),"A+")</f>
        <v>A+</v>
      </c>
      <c r="C21" s="24">
        <f ca="1">IFERROR(__xludf.DUMMYFUNCTION("""COMPUTED_VALUE"""),280.117020165082)</f>
        <v>280.11702016508201</v>
      </c>
    </row>
    <row r="22" spans="1:3" ht="15.75" customHeight="1">
      <c r="A22" s="25" t="str">
        <f ca="1">IFERROR(__xludf.DUMMYFUNCTION("""COMPUTED_VALUE"""),"Samsung Galaxy S23+ 8+256")</f>
        <v>Samsung Galaxy S23+ 8+256</v>
      </c>
      <c r="B22" s="24" t="str">
        <f ca="1">IFERROR(__xludf.DUMMYFUNCTION("""COMPUTED_VALUE"""),"A+")</f>
        <v>A+</v>
      </c>
      <c r="C22" s="24">
        <f ca="1">IFERROR(__xludf.DUMMYFUNCTION("""COMPUTED_VALUE"""),296.938668895622)</f>
        <v>296.93866889562202</v>
      </c>
    </row>
    <row r="23" spans="1:3" ht="15.75" customHeight="1">
      <c r="A23" s="25" t="str">
        <f ca="1">IFERROR(__xludf.DUMMYFUNCTION("""COMPUTED_VALUE"""),"Samsung Galaxy S23 FE 8+128")</f>
        <v>Samsung Galaxy S23 FE 8+128</v>
      </c>
      <c r="B23" s="24" t="str">
        <f ca="1">IFERROR(__xludf.DUMMYFUNCTION("""COMPUTED_VALUE"""),"A+")</f>
        <v>A+</v>
      </c>
      <c r="C23" s="24">
        <f ca="1">IFERROR(__xludf.DUMMYFUNCTION("""COMPUTED_VALUE"""),228.920697941698)</f>
        <v>228.92069794169799</v>
      </c>
    </row>
    <row r="24" spans="1:3" ht="15.75" customHeight="1">
      <c r="A24" s="25" t="str">
        <f ca="1">IFERROR(__xludf.DUMMYFUNCTION("""COMPUTED_VALUE"""),"Samsung Galaxy S23 Ultra 8+256")</f>
        <v>Samsung Galaxy S23 Ultra 8+256</v>
      </c>
      <c r="B24" s="24" t="str">
        <f ca="1">IFERROR(__xludf.DUMMYFUNCTION("""COMPUTED_VALUE"""),"A+")</f>
        <v>A+</v>
      </c>
      <c r="C24" s="24">
        <f ca="1">IFERROR(__xludf.DUMMYFUNCTION("""COMPUTED_VALUE"""),413.227457945878)</f>
        <v>413.22745794587797</v>
      </c>
    </row>
    <row r="25" spans="1:3" ht="15.75" customHeight="1">
      <c r="A25" s="25" t="str">
        <f ca="1">IFERROR(__xludf.DUMMYFUNCTION("""COMPUTED_VALUE"""),"Samsung Galaxy S9 4+64")</f>
        <v>Samsung Galaxy S9 4+64</v>
      </c>
      <c r="B25" s="24" t="str">
        <f ca="1">IFERROR(__xludf.DUMMYFUNCTION("""COMPUTED_VALUE"""),"A+")</f>
        <v>A+</v>
      </c>
      <c r="C25" s="24">
        <f ca="1">IFERROR(__xludf.DUMMYFUNCTION("""COMPUTED_VALUE"""),93.5858322014418)</f>
        <v>93.585832201441804</v>
      </c>
    </row>
    <row r="26" spans="1:3" ht="15.75" customHeight="1">
      <c r="A26" s="25" t="str">
        <f ca="1">IFERROR(__xludf.DUMMYFUNCTION("""COMPUTED_VALUE"""),"Samsung Galaxy S9+ 4+64")</f>
        <v>Samsung Galaxy S9+ 4+64</v>
      </c>
      <c r="B26" s="24" t="str">
        <f ca="1">IFERROR(__xludf.DUMMYFUNCTION("""COMPUTED_VALUE"""),"A+")</f>
        <v>A+</v>
      </c>
      <c r="C26" s="24">
        <f ca="1">IFERROR(__xludf.DUMMYFUNCTION("""COMPUTED_VALUE"""),111.696095845087)</f>
        <v>111.696095845087</v>
      </c>
    </row>
    <row r="27" spans="1:3" ht="15.75" customHeight="1">
      <c r="A27" s="21"/>
      <c r="B27" s="21"/>
      <c r="C27" s="21"/>
    </row>
    <row r="28" spans="1:3" ht="15.75" customHeight="1">
      <c r="A28" s="21"/>
      <c r="B28" s="21"/>
      <c r="C28" s="21"/>
    </row>
    <row r="29" spans="1:3" ht="15.75" customHeight="1">
      <c r="A29" s="21"/>
      <c r="B29" s="21"/>
      <c r="C29" s="21"/>
    </row>
    <row r="30" spans="1:3" ht="15.75" customHeight="1">
      <c r="A30" s="21"/>
      <c r="B30" s="21"/>
      <c r="C30" s="21"/>
    </row>
    <row r="31" spans="1:3" ht="15.75" customHeight="1">
      <c r="A31" s="21"/>
      <c r="B31" s="21"/>
      <c r="C31" s="21"/>
    </row>
    <row r="32" spans="1:3" ht="15.75" customHeight="1">
      <c r="A32" s="21"/>
      <c r="B32" s="21"/>
      <c r="C32" s="21"/>
    </row>
    <row r="33" spans="1:3" ht="15.75" customHeight="1">
      <c r="A33" s="21"/>
      <c r="B33" s="21"/>
      <c r="C33" s="21"/>
    </row>
    <row r="34" spans="1:3" ht="15.75" customHeight="1">
      <c r="A34" s="21"/>
      <c r="B34" s="21"/>
      <c r="C34" s="21"/>
    </row>
    <row r="35" spans="1:3" ht="15.75" customHeight="1">
      <c r="A35" s="21"/>
      <c r="B35" s="21"/>
      <c r="C35" s="21"/>
    </row>
    <row r="36" spans="1:3" ht="15.75" customHeight="1">
      <c r="A36" s="21"/>
      <c r="B36" s="21"/>
      <c r="C36" s="21"/>
    </row>
    <row r="37" spans="1:3" ht="15.75" customHeight="1">
      <c r="A37" s="21"/>
      <c r="B37" s="21"/>
      <c r="C37" s="21"/>
    </row>
    <row r="38" spans="1:3" ht="15.75" customHeight="1">
      <c r="A38" s="21"/>
      <c r="B38" s="21"/>
      <c r="C38" s="21"/>
    </row>
    <row r="39" spans="1:3" ht="15.75" customHeight="1">
      <c r="A39" s="21"/>
      <c r="B39" s="21"/>
      <c r="C39" s="21"/>
    </row>
    <row r="40" spans="1:3" ht="15.75" customHeight="1">
      <c r="A40" s="21"/>
      <c r="B40" s="21"/>
      <c r="C40" s="21"/>
    </row>
    <row r="41" spans="1:3" ht="15.75" customHeight="1">
      <c r="A41" s="21"/>
      <c r="B41" s="21"/>
      <c r="C41" s="21"/>
    </row>
    <row r="42" spans="1:3" ht="15.75" customHeight="1">
      <c r="A42" s="21"/>
      <c r="B42" s="21"/>
      <c r="C42" s="21"/>
    </row>
    <row r="43" spans="1:3" ht="15.75" customHeight="1">
      <c r="A43" s="21"/>
      <c r="B43" s="21"/>
      <c r="C43" s="21"/>
    </row>
    <row r="44" spans="1:3" ht="15.75" customHeight="1">
      <c r="A44" s="21"/>
      <c r="B44" s="21"/>
      <c r="C44" s="21"/>
    </row>
    <row r="45" spans="1:3" ht="15.75" customHeight="1">
      <c r="A45" s="21"/>
      <c r="B45" s="21"/>
      <c r="C45" s="21"/>
    </row>
    <row r="46" spans="1:3" ht="15.75" customHeight="1">
      <c r="A46" s="21"/>
      <c r="B46" s="21"/>
      <c r="C46" s="21"/>
    </row>
    <row r="47" spans="1:3" ht="15.75" customHeight="1">
      <c r="A47" s="21"/>
      <c r="B47" s="21"/>
      <c r="C47" s="21"/>
    </row>
    <row r="48" spans="1:3" ht="15.75" customHeight="1">
      <c r="A48" s="21"/>
      <c r="B48" s="21"/>
      <c r="C48" s="21"/>
    </row>
    <row r="49" spans="1:3" ht="13">
      <c r="A49" s="21"/>
      <c r="B49" s="21"/>
      <c r="C49" s="21"/>
    </row>
    <row r="50" spans="1:3" ht="13">
      <c r="A50" s="21"/>
      <c r="B50" s="21"/>
      <c r="C50" s="21"/>
    </row>
    <row r="51" spans="1:3" ht="13">
      <c r="A51" s="21"/>
      <c r="B51" s="21"/>
      <c r="C51" s="21"/>
    </row>
    <row r="52" spans="1:3" ht="13">
      <c r="A52" s="21"/>
      <c r="B52" s="21"/>
      <c r="C52" s="21"/>
    </row>
    <row r="53" spans="1:3" ht="13">
      <c r="A53" s="21"/>
      <c r="B53" s="21"/>
      <c r="C53" s="21"/>
    </row>
    <row r="54" spans="1:3" ht="13">
      <c r="A54" s="21"/>
      <c r="B54" s="21"/>
      <c r="C54" s="21"/>
    </row>
    <row r="55" spans="1:3" ht="13">
      <c r="A55" s="21"/>
      <c r="B55" s="21"/>
      <c r="C55" s="21"/>
    </row>
    <row r="56" spans="1:3" ht="13">
      <c r="A56" s="21"/>
      <c r="B56" s="21"/>
      <c r="C56" s="21"/>
    </row>
    <row r="57" spans="1:3" ht="13">
      <c r="A57" s="21"/>
      <c r="B57" s="21"/>
      <c r="C57" s="21"/>
    </row>
    <row r="58" spans="1:3" ht="13">
      <c r="A58" s="21"/>
      <c r="B58" s="21"/>
      <c r="C58" s="21"/>
    </row>
    <row r="59" spans="1:3" ht="13">
      <c r="A59" s="21"/>
      <c r="B59" s="21"/>
      <c r="C59" s="21"/>
    </row>
    <row r="60" spans="1:3" ht="13">
      <c r="A60" s="21"/>
      <c r="B60" s="21"/>
      <c r="C60" s="21"/>
    </row>
    <row r="61" spans="1:3" ht="13">
      <c r="A61" s="21"/>
      <c r="B61" s="21"/>
      <c r="C61" s="21"/>
    </row>
    <row r="62" spans="1:3" ht="13">
      <c r="A62" s="21"/>
      <c r="B62" s="21"/>
      <c r="C62" s="21"/>
    </row>
    <row r="63" spans="1:3" ht="13">
      <c r="A63" s="21"/>
      <c r="B63" s="21"/>
      <c r="C63" s="21"/>
    </row>
    <row r="64" spans="1:3" ht="13">
      <c r="A64" s="21"/>
      <c r="B64" s="21"/>
      <c r="C64" s="21"/>
    </row>
    <row r="65" spans="1:3" ht="13">
      <c r="A65" s="21"/>
      <c r="B65" s="21"/>
      <c r="C65" s="21"/>
    </row>
    <row r="66" spans="1:3" ht="13">
      <c r="A66" s="21"/>
      <c r="B66" s="21"/>
      <c r="C66" s="21"/>
    </row>
    <row r="67" spans="1:3" ht="13">
      <c r="A67" s="21"/>
      <c r="B67" s="21"/>
      <c r="C67" s="21"/>
    </row>
    <row r="68" spans="1:3" ht="13">
      <c r="A68" s="21"/>
      <c r="B68" s="21"/>
      <c r="C68" s="21"/>
    </row>
    <row r="69" spans="1:3" ht="13">
      <c r="A69" s="21"/>
      <c r="B69" s="21"/>
      <c r="C69" s="21"/>
    </row>
    <row r="70" spans="1:3" ht="13">
      <c r="A70" s="21"/>
      <c r="B70" s="21"/>
      <c r="C70" s="21"/>
    </row>
    <row r="71" spans="1:3" ht="13">
      <c r="A71" s="21"/>
      <c r="B71" s="21"/>
      <c r="C71" s="21"/>
    </row>
    <row r="72" spans="1:3" ht="13">
      <c r="A72" s="21"/>
      <c r="B72" s="21"/>
      <c r="C72" s="21"/>
    </row>
    <row r="73" spans="1:3" ht="13">
      <c r="A73" s="21"/>
      <c r="B73" s="21"/>
      <c r="C73" s="21"/>
    </row>
    <row r="74" spans="1:3" ht="13">
      <c r="A74" s="21"/>
      <c r="B74" s="21"/>
      <c r="C74" s="21"/>
    </row>
    <row r="75" spans="1:3" ht="13">
      <c r="A75" s="21"/>
      <c r="B75" s="21"/>
      <c r="C75" s="21"/>
    </row>
    <row r="76" spans="1:3" ht="13">
      <c r="A76" s="21"/>
      <c r="B76" s="21"/>
      <c r="C76" s="21"/>
    </row>
    <row r="77" spans="1:3" ht="13">
      <c r="A77" s="21"/>
      <c r="B77" s="21"/>
      <c r="C77" s="21"/>
    </row>
    <row r="78" spans="1:3" ht="13">
      <c r="A78" s="21"/>
      <c r="B78" s="21"/>
      <c r="C78" s="21"/>
    </row>
    <row r="79" spans="1:3" ht="13">
      <c r="A79" s="21"/>
      <c r="B79" s="21"/>
      <c r="C79" s="21"/>
    </row>
    <row r="80" spans="1:3" ht="13">
      <c r="A80" s="21"/>
      <c r="B80" s="21"/>
      <c r="C80" s="21"/>
    </row>
    <row r="81" spans="1:3" ht="13">
      <c r="A81" s="21"/>
      <c r="B81" s="21"/>
      <c r="C81" s="21"/>
    </row>
    <row r="82" spans="1:3" ht="13">
      <c r="A82" s="21"/>
      <c r="B82" s="21"/>
      <c r="C82" s="21"/>
    </row>
    <row r="83" spans="1:3" ht="13">
      <c r="A83" s="21"/>
      <c r="B83" s="21"/>
      <c r="C83" s="21"/>
    </row>
    <row r="84" spans="1:3" ht="13">
      <c r="A84" s="21"/>
      <c r="B84" s="21"/>
      <c r="C84" s="21"/>
    </row>
    <row r="85" spans="1:3" ht="13">
      <c r="A85" s="21"/>
      <c r="B85" s="21"/>
      <c r="C85" s="21"/>
    </row>
    <row r="86" spans="1:3" ht="13">
      <c r="A86" s="21"/>
      <c r="B86" s="21"/>
      <c r="C86" s="21"/>
    </row>
    <row r="87" spans="1:3" ht="13">
      <c r="A87" s="21"/>
      <c r="B87" s="21"/>
      <c r="C87" s="21"/>
    </row>
    <row r="88" spans="1:3" ht="13">
      <c r="A88" s="21"/>
      <c r="B88" s="21"/>
      <c r="C88" s="21"/>
    </row>
    <row r="89" spans="1:3" ht="13">
      <c r="A89" s="21"/>
      <c r="B89" s="21"/>
      <c r="C89" s="21"/>
    </row>
    <row r="90" spans="1:3" ht="13">
      <c r="A90" s="21"/>
      <c r="B90" s="21"/>
      <c r="C90" s="21"/>
    </row>
    <row r="91" spans="1:3" ht="13">
      <c r="A91" s="21"/>
      <c r="B91" s="21"/>
      <c r="C91" s="21"/>
    </row>
    <row r="92" spans="1:3" ht="13">
      <c r="A92" s="21"/>
      <c r="B92" s="21"/>
      <c r="C92" s="21"/>
    </row>
    <row r="93" spans="1:3" ht="13">
      <c r="A93" s="21"/>
      <c r="B93" s="21"/>
      <c r="C93" s="21"/>
    </row>
    <row r="94" spans="1:3" ht="13">
      <c r="A94" s="21"/>
      <c r="B94" s="21"/>
      <c r="C94" s="21"/>
    </row>
    <row r="95" spans="1:3" ht="13">
      <c r="A95" s="21"/>
      <c r="B95" s="21"/>
      <c r="C95" s="21"/>
    </row>
    <row r="96" spans="1:3" ht="13">
      <c r="A96" s="21"/>
      <c r="B96" s="21"/>
      <c r="C96" s="21"/>
    </row>
    <row r="97" spans="1:3" ht="13">
      <c r="A97" s="21"/>
      <c r="B97" s="21"/>
      <c r="C97" s="21"/>
    </row>
    <row r="98" spans="1:3" ht="13">
      <c r="A98" s="21"/>
      <c r="B98" s="21"/>
      <c r="C98" s="21"/>
    </row>
    <row r="99" spans="1:3" ht="13">
      <c r="A99" s="21"/>
      <c r="B99" s="21"/>
      <c r="C99" s="21"/>
    </row>
    <row r="100" spans="1:3" ht="13">
      <c r="A100" s="21"/>
      <c r="B100" s="21"/>
      <c r="C100" s="21"/>
    </row>
    <row r="101" spans="1:3" ht="13">
      <c r="A101" s="21"/>
      <c r="B101" s="21"/>
      <c r="C101" s="21"/>
    </row>
    <row r="102" spans="1:3" ht="13">
      <c r="A102" s="21"/>
      <c r="B102" s="21"/>
      <c r="C102" s="21"/>
    </row>
    <row r="103" spans="1:3" ht="13">
      <c r="A103" s="21"/>
      <c r="B103" s="21"/>
      <c r="C103" s="21"/>
    </row>
    <row r="104" spans="1:3" ht="13">
      <c r="A104" s="21"/>
      <c r="B104" s="21"/>
      <c r="C104" s="21"/>
    </row>
    <row r="105" spans="1:3" ht="13">
      <c r="A105" s="21"/>
      <c r="B105" s="21"/>
      <c r="C105" s="21"/>
    </row>
    <row r="106" spans="1:3" ht="13">
      <c r="A106" s="21"/>
      <c r="B106" s="21"/>
      <c r="C106" s="21"/>
    </row>
    <row r="107" spans="1:3" ht="13">
      <c r="A107" s="21"/>
      <c r="B107" s="21"/>
      <c r="C107" s="21"/>
    </row>
    <row r="108" spans="1:3" ht="13">
      <c r="A108" s="21"/>
      <c r="B108" s="21"/>
      <c r="C108" s="21"/>
    </row>
    <row r="109" spans="1:3" ht="13">
      <c r="A109" s="21"/>
      <c r="B109" s="21"/>
      <c r="C109" s="21"/>
    </row>
    <row r="110" spans="1:3" ht="13">
      <c r="A110" s="21"/>
      <c r="B110" s="21"/>
      <c r="C110" s="21"/>
    </row>
    <row r="111" spans="1:3" ht="13">
      <c r="A111" s="21"/>
      <c r="B111" s="21"/>
      <c r="C111" s="21"/>
    </row>
    <row r="112" spans="1:3" ht="13">
      <c r="A112" s="21"/>
      <c r="B112" s="21"/>
      <c r="C112" s="21"/>
    </row>
    <row r="113" spans="1:3" ht="13">
      <c r="A113" s="21"/>
      <c r="B113" s="21"/>
      <c r="C113" s="21"/>
    </row>
    <row r="114" spans="1:3" ht="13">
      <c r="A114" s="21"/>
      <c r="B114" s="21"/>
      <c r="C114" s="21"/>
    </row>
    <row r="115" spans="1:3" ht="13">
      <c r="A115" s="21"/>
      <c r="B115" s="21"/>
      <c r="C115" s="21"/>
    </row>
    <row r="116" spans="1:3" ht="13">
      <c r="A116" s="21"/>
      <c r="B116" s="21"/>
      <c r="C116" s="21"/>
    </row>
    <row r="117" spans="1:3" ht="13">
      <c r="A117" s="21"/>
      <c r="B117" s="21"/>
      <c r="C117" s="21"/>
    </row>
    <row r="118" spans="1:3" ht="13">
      <c r="A118" s="21"/>
      <c r="B118" s="21"/>
      <c r="C118" s="21"/>
    </row>
    <row r="119" spans="1:3" ht="13">
      <c r="A119" s="21"/>
      <c r="B119" s="21"/>
      <c r="C119" s="21"/>
    </row>
    <row r="120" spans="1:3" ht="13">
      <c r="A120" s="21"/>
      <c r="B120" s="21"/>
      <c r="C120" s="21"/>
    </row>
    <row r="121" spans="1:3" ht="13">
      <c r="A121" s="21"/>
      <c r="B121" s="21"/>
      <c r="C121" s="21"/>
    </row>
    <row r="122" spans="1:3" ht="13">
      <c r="A122" s="21"/>
      <c r="B122" s="21"/>
      <c r="C122" s="21"/>
    </row>
    <row r="123" spans="1:3" ht="13">
      <c r="A123" s="21"/>
      <c r="B123" s="21"/>
      <c r="C123" s="21"/>
    </row>
    <row r="124" spans="1:3" ht="13">
      <c r="A124" s="21"/>
      <c r="B124" s="21"/>
      <c r="C124" s="21"/>
    </row>
    <row r="125" spans="1:3" ht="13">
      <c r="A125" s="21"/>
      <c r="B125" s="21"/>
      <c r="C125" s="21"/>
    </row>
    <row r="126" spans="1:3" ht="13">
      <c r="A126" s="21"/>
      <c r="B126" s="21"/>
      <c r="C126" s="21"/>
    </row>
    <row r="127" spans="1:3" ht="13">
      <c r="A127" s="21"/>
      <c r="B127" s="21"/>
      <c r="C127" s="21"/>
    </row>
    <row r="128" spans="1:3" ht="13">
      <c r="A128" s="21"/>
      <c r="B128" s="21"/>
      <c r="C128" s="21"/>
    </row>
    <row r="129" spans="1:3" ht="13">
      <c r="A129" s="21"/>
      <c r="B129" s="21"/>
      <c r="C129" s="21"/>
    </row>
    <row r="130" spans="1:3" ht="13">
      <c r="A130" s="21"/>
      <c r="B130" s="21"/>
      <c r="C130" s="21"/>
    </row>
    <row r="131" spans="1:3" ht="13">
      <c r="A131" s="21"/>
      <c r="B131" s="21"/>
      <c r="C131" s="21"/>
    </row>
    <row r="132" spans="1:3" ht="13">
      <c r="A132" s="21"/>
      <c r="B132" s="21"/>
      <c r="C132" s="21"/>
    </row>
    <row r="133" spans="1:3" ht="13">
      <c r="A133" s="21"/>
      <c r="B133" s="21"/>
      <c r="C133" s="21"/>
    </row>
    <row r="134" spans="1:3" ht="13">
      <c r="A134" s="21"/>
      <c r="B134" s="21"/>
      <c r="C134" s="21"/>
    </row>
    <row r="135" spans="1:3" ht="13">
      <c r="A135" s="21"/>
      <c r="B135" s="21"/>
      <c r="C135" s="21"/>
    </row>
    <row r="136" spans="1:3" ht="13">
      <c r="A136" s="21"/>
      <c r="B136" s="21"/>
      <c r="C136" s="21"/>
    </row>
    <row r="137" spans="1:3" ht="13">
      <c r="A137" s="21"/>
      <c r="B137" s="21"/>
      <c r="C137" s="21"/>
    </row>
    <row r="138" spans="1:3" ht="13">
      <c r="A138" s="21"/>
      <c r="B138" s="21"/>
      <c r="C138" s="21"/>
    </row>
    <row r="139" spans="1:3" ht="13">
      <c r="A139" s="21"/>
      <c r="B139" s="21"/>
      <c r="C139" s="21"/>
    </row>
    <row r="140" spans="1:3" ht="13">
      <c r="A140" s="21"/>
      <c r="B140" s="21"/>
      <c r="C140" s="21"/>
    </row>
    <row r="141" spans="1:3" ht="13">
      <c r="A141" s="21"/>
      <c r="B141" s="21"/>
      <c r="C141" s="21"/>
    </row>
    <row r="142" spans="1:3" ht="13">
      <c r="A142" s="21"/>
      <c r="B142" s="21"/>
      <c r="C142" s="21"/>
    </row>
    <row r="143" spans="1:3" ht="13">
      <c r="A143" s="21"/>
      <c r="B143" s="21"/>
      <c r="C143" s="21"/>
    </row>
    <row r="144" spans="1:3" ht="13">
      <c r="A144" s="21"/>
      <c r="B144" s="21"/>
      <c r="C144" s="21"/>
    </row>
    <row r="145" spans="1:3" ht="13">
      <c r="A145" s="21"/>
      <c r="B145" s="21"/>
      <c r="C145" s="21"/>
    </row>
    <row r="146" spans="1:3" ht="13">
      <c r="A146" s="21"/>
      <c r="B146" s="21"/>
      <c r="C146" s="21"/>
    </row>
    <row r="147" spans="1:3" ht="13">
      <c r="A147" s="21"/>
      <c r="B147" s="21"/>
      <c r="C147" s="21"/>
    </row>
    <row r="148" spans="1:3" ht="13">
      <c r="A148" s="21"/>
      <c r="B148" s="21"/>
      <c r="C148" s="21"/>
    </row>
    <row r="149" spans="1:3" ht="13">
      <c r="A149" s="21"/>
      <c r="B149" s="21"/>
      <c r="C149" s="21"/>
    </row>
    <row r="150" spans="1:3" ht="13">
      <c r="A150" s="21"/>
      <c r="B150" s="21"/>
      <c r="C150" s="21"/>
    </row>
    <row r="151" spans="1:3" ht="13">
      <c r="A151" s="21"/>
      <c r="B151" s="21"/>
      <c r="C151" s="21"/>
    </row>
    <row r="152" spans="1:3" ht="13">
      <c r="A152" s="21"/>
      <c r="B152" s="21"/>
      <c r="C152" s="21"/>
    </row>
    <row r="153" spans="1:3" ht="13">
      <c r="A153" s="21"/>
      <c r="B153" s="21"/>
      <c r="C153" s="21"/>
    </row>
    <row r="154" spans="1:3" ht="13">
      <c r="A154" s="21"/>
      <c r="B154" s="21"/>
      <c r="C154" s="21"/>
    </row>
    <row r="155" spans="1:3" ht="13">
      <c r="A155" s="21"/>
      <c r="B155" s="21"/>
      <c r="C155" s="21"/>
    </row>
    <row r="156" spans="1:3" ht="13">
      <c r="A156" s="21"/>
      <c r="B156" s="21"/>
      <c r="C156" s="21"/>
    </row>
    <row r="157" spans="1:3" ht="13">
      <c r="A157" s="21"/>
      <c r="B157" s="21"/>
      <c r="C157" s="21"/>
    </row>
    <row r="158" spans="1:3" ht="13">
      <c r="A158" s="21"/>
      <c r="B158" s="21"/>
      <c r="C158" s="21"/>
    </row>
    <row r="159" spans="1:3" ht="13">
      <c r="A159" s="21"/>
      <c r="B159" s="21"/>
      <c r="C159" s="21"/>
    </row>
    <row r="160" spans="1:3" ht="13">
      <c r="A160" s="21"/>
      <c r="B160" s="21"/>
      <c r="C160" s="21"/>
    </row>
    <row r="161" spans="1:3" ht="13">
      <c r="A161" s="21"/>
      <c r="B161" s="21"/>
      <c r="C161" s="21"/>
    </row>
    <row r="162" spans="1:3" ht="13">
      <c r="A162" s="21"/>
      <c r="B162" s="21"/>
      <c r="C162" s="21"/>
    </row>
    <row r="163" spans="1:3" ht="13">
      <c r="A163" s="21"/>
      <c r="B163" s="21"/>
      <c r="C163" s="21"/>
    </row>
    <row r="164" spans="1:3" ht="13">
      <c r="A164" s="21"/>
      <c r="B164" s="21"/>
      <c r="C164" s="21"/>
    </row>
    <row r="165" spans="1:3" ht="13">
      <c r="A165" s="21"/>
      <c r="B165" s="21"/>
      <c r="C165" s="21"/>
    </row>
    <row r="166" spans="1:3" ht="13">
      <c r="A166" s="21"/>
      <c r="B166" s="21"/>
      <c r="C166" s="21"/>
    </row>
    <row r="167" spans="1:3" ht="13">
      <c r="A167" s="21"/>
      <c r="B167" s="21"/>
      <c r="C167" s="21"/>
    </row>
    <row r="168" spans="1:3" ht="13">
      <c r="A168" s="21"/>
      <c r="B168" s="21"/>
      <c r="C168" s="21"/>
    </row>
    <row r="169" spans="1:3" ht="13">
      <c r="A169" s="21"/>
      <c r="B169" s="21"/>
      <c r="C169" s="21"/>
    </row>
    <row r="170" spans="1:3" ht="13">
      <c r="A170" s="21"/>
      <c r="B170" s="21"/>
      <c r="C170" s="21"/>
    </row>
    <row r="171" spans="1:3" ht="13">
      <c r="A171" s="21"/>
      <c r="B171" s="21"/>
      <c r="C171" s="21"/>
    </row>
    <row r="172" spans="1:3" ht="13">
      <c r="A172" s="21"/>
      <c r="B172" s="21"/>
      <c r="C172" s="21"/>
    </row>
    <row r="173" spans="1:3" ht="13">
      <c r="A173" s="21"/>
      <c r="B173" s="21"/>
      <c r="C173" s="21"/>
    </row>
    <row r="174" spans="1:3" ht="13">
      <c r="A174" s="21"/>
      <c r="B174" s="21"/>
      <c r="C174" s="21"/>
    </row>
    <row r="175" spans="1:3" ht="13">
      <c r="A175" s="21"/>
      <c r="B175" s="21"/>
      <c r="C175" s="21"/>
    </row>
    <row r="176" spans="1:3" ht="13">
      <c r="A176" s="21"/>
      <c r="B176" s="21"/>
      <c r="C176" s="21"/>
    </row>
    <row r="177" spans="1:3" ht="13">
      <c r="A177" s="21"/>
      <c r="B177" s="21"/>
      <c r="C177" s="21"/>
    </row>
    <row r="178" spans="1:3" ht="13">
      <c r="A178" s="21"/>
      <c r="B178" s="21"/>
      <c r="C178" s="21"/>
    </row>
    <row r="179" spans="1:3" ht="13">
      <c r="A179" s="21"/>
      <c r="B179" s="21"/>
      <c r="C179" s="21"/>
    </row>
    <row r="180" spans="1:3" ht="13">
      <c r="A180" s="21"/>
      <c r="B180" s="21"/>
      <c r="C180" s="21"/>
    </row>
    <row r="181" spans="1:3" ht="13">
      <c r="A181" s="21"/>
      <c r="B181" s="21"/>
      <c r="C181" s="21"/>
    </row>
    <row r="182" spans="1:3" ht="13">
      <c r="A182" s="21"/>
      <c r="B182" s="21"/>
      <c r="C182" s="21"/>
    </row>
    <row r="183" spans="1:3" ht="13">
      <c r="A183" s="21"/>
      <c r="B183" s="21"/>
      <c r="C183" s="21"/>
    </row>
    <row r="184" spans="1:3" ht="13">
      <c r="A184" s="21"/>
      <c r="B184" s="21"/>
      <c r="C184" s="21"/>
    </row>
    <row r="185" spans="1:3" ht="13">
      <c r="A185" s="21"/>
      <c r="B185" s="21"/>
      <c r="C185" s="21"/>
    </row>
    <row r="186" spans="1:3" ht="13">
      <c r="A186" s="21"/>
      <c r="B186" s="21"/>
      <c r="C186" s="21"/>
    </row>
    <row r="187" spans="1:3" ht="13">
      <c r="A187" s="21"/>
      <c r="B187" s="21"/>
      <c r="C187" s="21"/>
    </row>
    <row r="188" spans="1:3" ht="13">
      <c r="A188" s="21"/>
      <c r="B188" s="21"/>
      <c r="C188" s="21"/>
    </row>
    <row r="189" spans="1:3" ht="13">
      <c r="A189" s="21"/>
      <c r="B189" s="21"/>
      <c r="C189" s="21"/>
    </row>
    <row r="190" spans="1:3" ht="13">
      <c r="A190" s="21"/>
      <c r="B190" s="21"/>
      <c r="C190" s="21"/>
    </row>
    <row r="191" spans="1:3" ht="13">
      <c r="A191" s="21"/>
      <c r="B191" s="21"/>
      <c r="C191" s="21"/>
    </row>
    <row r="192" spans="1:3" ht="13">
      <c r="A192" s="21"/>
      <c r="B192" s="21"/>
      <c r="C192" s="21"/>
    </row>
    <row r="193" spans="1:3" ht="13">
      <c r="A193" s="21"/>
      <c r="B193" s="21"/>
      <c r="C193" s="21"/>
    </row>
    <row r="194" spans="1:3" ht="13">
      <c r="A194" s="21"/>
      <c r="B194" s="21"/>
      <c r="C194" s="21"/>
    </row>
    <row r="195" spans="1:3" ht="13">
      <c r="A195" s="21"/>
      <c r="B195" s="21"/>
      <c r="C195" s="21"/>
    </row>
    <row r="196" spans="1:3" ht="13">
      <c r="A196" s="21"/>
      <c r="B196" s="21"/>
      <c r="C196" s="21"/>
    </row>
    <row r="197" spans="1:3" ht="13">
      <c r="A197" s="21"/>
      <c r="B197" s="21"/>
      <c r="C197" s="21"/>
    </row>
    <row r="198" spans="1:3" ht="13">
      <c r="A198" s="21"/>
      <c r="B198" s="21"/>
      <c r="C198" s="21"/>
    </row>
    <row r="199" spans="1:3" ht="13">
      <c r="A199" s="21"/>
      <c r="B199" s="21"/>
      <c r="C199" s="21"/>
    </row>
    <row r="200" spans="1:3" ht="13">
      <c r="A200" s="21"/>
      <c r="B200" s="21"/>
      <c r="C200" s="21"/>
    </row>
    <row r="201" spans="1:3" ht="13">
      <c r="A201" s="21"/>
      <c r="B201" s="21"/>
      <c r="C201" s="21"/>
    </row>
    <row r="202" spans="1:3" ht="13">
      <c r="A202" s="21"/>
      <c r="B202" s="21"/>
      <c r="C202" s="21"/>
    </row>
    <row r="203" spans="1:3" ht="13">
      <c r="A203" s="21"/>
      <c r="B203" s="21"/>
      <c r="C203" s="21"/>
    </row>
    <row r="204" spans="1:3" ht="13">
      <c r="A204" s="21"/>
      <c r="B204" s="21"/>
      <c r="C204" s="21"/>
    </row>
    <row r="205" spans="1:3" ht="13">
      <c r="A205" s="21"/>
      <c r="B205" s="21"/>
      <c r="C205" s="21"/>
    </row>
    <row r="206" spans="1:3" ht="13">
      <c r="A206" s="21"/>
      <c r="B206" s="21"/>
      <c r="C206" s="21"/>
    </row>
    <row r="207" spans="1:3" ht="13">
      <c r="A207" s="21"/>
      <c r="B207" s="21"/>
      <c r="C207" s="21"/>
    </row>
    <row r="208" spans="1:3" ht="13">
      <c r="A208" s="21"/>
      <c r="B208" s="21"/>
      <c r="C208" s="21"/>
    </row>
    <row r="209" spans="1:3" ht="13">
      <c r="A209" s="21"/>
      <c r="B209" s="21"/>
      <c r="C209" s="21"/>
    </row>
    <row r="210" spans="1:3" ht="13">
      <c r="A210" s="21"/>
      <c r="B210" s="21"/>
      <c r="C210" s="21"/>
    </row>
    <row r="211" spans="1:3" ht="13">
      <c r="A211" s="21"/>
      <c r="B211" s="21"/>
      <c r="C211" s="21"/>
    </row>
    <row r="212" spans="1:3" ht="13">
      <c r="A212" s="21"/>
      <c r="B212" s="21"/>
      <c r="C212" s="21"/>
    </row>
    <row r="213" spans="1:3" ht="13">
      <c r="A213" s="21"/>
      <c r="B213" s="21"/>
      <c r="C213" s="21"/>
    </row>
    <row r="214" spans="1:3" ht="13">
      <c r="A214" s="21"/>
      <c r="B214" s="21"/>
      <c r="C214" s="21"/>
    </row>
    <row r="215" spans="1:3" ht="13">
      <c r="A215" s="21"/>
      <c r="B215" s="21"/>
      <c r="C215" s="21"/>
    </row>
    <row r="216" spans="1:3" ht="13">
      <c r="A216" s="21"/>
      <c r="B216" s="21"/>
      <c r="C216" s="21"/>
    </row>
    <row r="217" spans="1:3" ht="13">
      <c r="A217" s="21"/>
      <c r="B217" s="21"/>
      <c r="C217" s="21"/>
    </row>
    <row r="218" spans="1:3" ht="13">
      <c r="A218" s="21"/>
      <c r="B218" s="21"/>
      <c r="C218" s="21"/>
    </row>
    <row r="219" spans="1:3" ht="13">
      <c r="A219" s="21"/>
      <c r="B219" s="21"/>
      <c r="C219" s="21"/>
    </row>
    <row r="220" spans="1:3" ht="13">
      <c r="A220" s="21"/>
      <c r="B220" s="21"/>
      <c r="C220" s="21"/>
    </row>
    <row r="221" spans="1:3" ht="13">
      <c r="A221" s="21"/>
      <c r="B221" s="21"/>
      <c r="C221" s="21"/>
    </row>
    <row r="222" spans="1:3" ht="13">
      <c r="A222" s="21"/>
      <c r="B222" s="21"/>
      <c r="C222" s="21"/>
    </row>
    <row r="223" spans="1:3" ht="13">
      <c r="A223" s="21"/>
      <c r="B223" s="21"/>
      <c r="C223" s="21"/>
    </row>
    <row r="224" spans="1:3" ht="13">
      <c r="A224" s="21"/>
      <c r="B224" s="21"/>
      <c r="C224" s="21"/>
    </row>
    <row r="225" spans="1:3" ht="13">
      <c r="A225" s="21"/>
      <c r="B225" s="21"/>
      <c r="C225" s="21"/>
    </row>
    <row r="226" spans="1:3" ht="13">
      <c r="A226" s="21"/>
      <c r="B226" s="21"/>
      <c r="C226" s="21"/>
    </row>
    <row r="227" spans="1:3" ht="13">
      <c r="A227" s="21"/>
      <c r="B227" s="21"/>
      <c r="C227" s="21"/>
    </row>
    <row r="228" spans="1:3" ht="13">
      <c r="A228" s="21"/>
      <c r="B228" s="21"/>
      <c r="C228" s="21"/>
    </row>
    <row r="229" spans="1:3" ht="13">
      <c r="A229" s="21"/>
      <c r="B229" s="21"/>
      <c r="C229" s="21"/>
    </row>
    <row r="230" spans="1:3" ht="13">
      <c r="A230" s="21"/>
      <c r="B230" s="21"/>
      <c r="C230" s="21"/>
    </row>
    <row r="231" spans="1:3" ht="13">
      <c r="A231" s="21"/>
      <c r="B231" s="21"/>
      <c r="C231" s="21"/>
    </row>
    <row r="232" spans="1:3" ht="13">
      <c r="A232" s="21"/>
      <c r="B232" s="21"/>
      <c r="C232" s="21"/>
    </row>
    <row r="233" spans="1:3" ht="13">
      <c r="A233" s="21"/>
      <c r="B233" s="21"/>
      <c r="C233" s="21"/>
    </row>
    <row r="234" spans="1:3" ht="13">
      <c r="A234" s="21"/>
      <c r="B234" s="21"/>
      <c r="C234" s="21"/>
    </row>
    <row r="235" spans="1:3" ht="13">
      <c r="A235" s="21"/>
      <c r="B235" s="21"/>
      <c r="C235" s="21"/>
    </row>
    <row r="236" spans="1:3" ht="13">
      <c r="A236" s="21"/>
      <c r="B236" s="21"/>
      <c r="C236" s="21"/>
    </row>
    <row r="237" spans="1:3" ht="13">
      <c r="A237" s="21"/>
      <c r="B237" s="21"/>
      <c r="C237" s="21"/>
    </row>
    <row r="238" spans="1:3" ht="13">
      <c r="A238" s="21"/>
      <c r="B238" s="21"/>
      <c r="C238" s="21"/>
    </row>
    <row r="239" spans="1:3" ht="13">
      <c r="A239" s="21"/>
      <c r="B239" s="21"/>
      <c r="C239" s="21"/>
    </row>
    <row r="240" spans="1:3" ht="13">
      <c r="A240" s="21"/>
      <c r="B240" s="21"/>
      <c r="C240" s="21"/>
    </row>
    <row r="241" spans="1:3" ht="13">
      <c r="A241" s="21"/>
      <c r="B241" s="21"/>
      <c r="C241" s="21"/>
    </row>
    <row r="242" spans="1:3" ht="13">
      <c r="A242" s="21"/>
      <c r="B242" s="21"/>
      <c r="C242" s="21"/>
    </row>
    <row r="243" spans="1:3" ht="13">
      <c r="A243" s="21"/>
      <c r="B243" s="21"/>
      <c r="C243" s="21"/>
    </row>
    <row r="244" spans="1:3" ht="13">
      <c r="A244" s="21"/>
      <c r="B244" s="21"/>
      <c r="C244" s="21"/>
    </row>
    <row r="245" spans="1:3" ht="13">
      <c r="A245" s="21"/>
      <c r="B245" s="21"/>
      <c r="C245" s="21"/>
    </row>
    <row r="246" spans="1:3" ht="13">
      <c r="A246" s="21"/>
      <c r="B246" s="21"/>
      <c r="C246" s="21"/>
    </row>
    <row r="247" spans="1:3" ht="13">
      <c r="A247" s="21"/>
      <c r="B247" s="21"/>
      <c r="C247" s="21"/>
    </row>
    <row r="248" spans="1:3" ht="13">
      <c r="A248" s="21"/>
      <c r="B248" s="21"/>
      <c r="C248" s="21"/>
    </row>
    <row r="249" spans="1:3" ht="13">
      <c r="A249" s="21"/>
      <c r="B249" s="21"/>
      <c r="C249" s="21"/>
    </row>
    <row r="250" spans="1:3" ht="13">
      <c r="A250" s="21"/>
      <c r="B250" s="21"/>
      <c r="C250" s="21"/>
    </row>
    <row r="251" spans="1:3" ht="13">
      <c r="A251" s="21"/>
      <c r="B251" s="21"/>
      <c r="C251" s="21"/>
    </row>
    <row r="252" spans="1:3" ht="13">
      <c r="A252" s="21"/>
      <c r="B252" s="21"/>
      <c r="C252" s="21"/>
    </row>
    <row r="253" spans="1:3" ht="13">
      <c r="A253" s="21"/>
      <c r="B253" s="21"/>
      <c r="C253" s="21"/>
    </row>
    <row r="254" spans="1:3" ht="13">
      <c r="A254" s="21"/>
      <c r="B254" s="21"/>
      <c r="C254" s="21"/>
    </row>
    <row r="255" spans="1:3" ht="13">
      <c r="A255" s="21"/>
      <c r="B255" s="21"/>
      <c r="C255" s="21"/>
    </row>
    <row r="256" spans="1:3" ht="13">
      <c r="A256" s="21"/>
      <c r="B256" s="21"/>
      <c r="C256" s="21"/>
    </row>
    <row r="257" spans="1:3" ht="13">
      <c r="A257" s="21"/>
      <c r="B257" s="21"/>
      <c r="C257" s="21"/>
    </row>
    <row r="258" spans="1:3" ht="13">
      <c r="A258" s="21"/>
      <c r="B258" s="21"/>
      <c r="C258" s="21"/>
    </row>
    <row r="259" spans="1:3" ht="13">
      <c r="A259" s="21"/>
      <c r="B259" s="21"/>
      <c r="C259" s="21"/>
    </row>
    <row r="260" spans="1:3" ht="13">
      <c r="A260" s="21"/>
      <c r="B260" s="21"/>
      <c r="C260" s="21"/>
    </row>
    <row r="261" spans="1:3" ht="13">
      <c r="A261" s="21"/>
      <c r="B261" s="21"/>
      <c r="C261" s="21"/>
    </row>
    <row r="262" spans="1:3" ht="13">
      <c r="A262" s="21"/>
      <c r="B262" s="21"/>
      <c r="C262" s="21"/>
    </row>
    <row r="263" spans="1:3" ht="13">
      <c r="A263" s="21"/>
      <c r="B263" s="21"/>
      <c r="C263" s="21"/>
    </row>
    <row r="264" spans="1:3" ht="13">
      <c r="A264" s="21"/>
      <c r="B264" s="21"/>
      <c r="C264" s="21"/>
    </row>
    <row r="265" spans="1:3" ht="13">
      <c r="A265" s="21"/>
      <c r="B265" s="21"/>
      <c r="C265" s="21"/>
    </row>
    <row r="266" spans="1:3" ht="13">
      <c r="A266" s="21"/>
      <c r="B266" s="21"/>
      <c r="C266" s="21"/>
    </row>
    <row r="267" spans="1:3" ht="13">
      <c r="A267" s="21"/>
      <c r="B267" s="21"/>
      <c r="C267" s="21"/>
    </row>
    <row r="268" spans="1:3" ht="13">
      <c r="A268" s="21"/>
      <c r="B268" s="21"/>
      <c r="C268" s="21"/>
    </row>
    <row r="269" spans="1:3" ht="13">
      <c r="A269" s="21"/>
      <c r="B269" s="21"/>
      <c r="C269" s="21"/>
    </row>
    <row r="270" spans="1:3" ht="13">
      <c r="A270" s="21"/>
      <c r="B270" s="21"/>
      <c r="C270" s="21"/>
    </row>
    <row r="271" spans="1:3" ht="13">
      <c r="A271" s="21"/>
      <c r="B271" s="21"/>
      <c r="C271" s="21"/>
    </row>
    <row r="272" spans="1:3" ht="13">
      <c r="A272" s="21"/>
      <c r="B272" s="21"/>
      <c r="C272" s="21"/>
    </row>
    <row r="273" spans="1:3" ht="13">
      <c r="A273" s="21"/>
      <c r="B273" s="21"/>
      <c r="C273" s="21"/>
    </row>
    <row r="274" spans="1:3" ht="13">
      <c r="A274" s="21"/>
      <c r="B274" s="21"/>
      <c r="C274" s="21"/>
    </row>
    <row r="275" spans="1:3" ht="13">
      <c r="A275" s="21"/>
      <c r="B275" s="21"/>
      <c r="C275" s="21"/>
    </row>
    <row r="276" spans="1:3" ht="13">
      <c r="A276" s="21"/>
      <c r="B276" s="21"/>
      <c r="C276" s="21"/>
    </row>
    <row r="277" spans="1:3" ht="13">
      <c r="A277" s="21"/>
      <c r="B277" s="21"/>
      <c r="C277" s="21"/>
    </row>
    <row r="278" spans="1:3" ht="13">
      <c r="A278" s="21"/>
      <c r="B278" s="21"/>
      <c r="C278" s="21"/>
    </row>
    <row r="279" spans="1:3" ht="13">
      <c r="A279" s="21"/>
      <c r="B279" s="21"/>
      <c r="C279" s="21"/>
    </row>
    <row r="280" spans="1:3" ht="13">
      <c r="A280" s="21"/>
      <c r="B280" s="21"/>
      <c r="C280" s="21"/>
    </row>
    <row r="281" spans="1:3" ht="13">
      <c r="A281" s="21"/>
      <c r="B281" s="21"/>
      <c r="C281" s="21"/>
    </row>
    <row r="282" spans="1:3" ht="13">
      <c r="A282" s="21"/>
      <c r="B282" s="21"/>
      <c r="C282" s="21"/>
    </row>
    <row r="283" spans="1:3" ht="13">
      <c r="A283" s="21"/>
      <c r="B283" s="21"/>
      <c r="C283" s="21"/>
    </row>
    <row r="284" spans="1:3" ht="13">
      <c r="A284" s="21"/>
      <c r="B284" s="21"/>
      <c r="C284" s="21"/>
    </row>
    <row r="285" spans="1:3" ht="13">
      <c r="A285" s="21"/>
      <c r="B285" s="21"/>
      <c r="C285" s="21"/>
    </row>
    <row r="286" spans="1:3" ht="13">
      <c r="A286" s="21"/>
      <c r="B286" s="21"/>
      <c r="C286" s="21"/>
    </row>
    <row r="287" spans="1:3" ht="13">
      <c r="A287" s="21"/>
      <c r="B287" s="21"/>
      <c r="C287" s="21"/>
    </row>
    <row r="288" spans="1:3" ht="13">
      <c r="A288" s="21"/>
      <c r="B288" s="21"/>
      <c r="C288" s="21"/>
    </row>
    <row r="289" spans="1:3" ht="13">
      <c r="A289" s="21"/>
      <c r="B289" s="21"/>
      <c r="C289" s="21"/>
    </row>
    <row r="290" spans="1:3" ht="13">
      <c r="A290" s="21"/>
      <c r="B290" s="21"/>
      <c r="C290" s="21"/>
    </row>
    <row r="291" spans="1:3" ht="13">
      <c r="A291" s="21"/>
      <c r="B291" s="21"/>
      <c r="C291" s="21"/>
    </row>
    <row r="292" spans="1:3" ht="13">
      <c r="A292" s="21"/>
      <c r="B292" s="21"/>
      <c r="C292" s="21"/>
    </row>
    <row r="293" spans="1:3" ht="13">
      <c r="A293" s="21"/>
      <c r="B293" s="21"/>
      <c r="C293" s="21"/>
    </row>
    <row r="294" spans="1:3" ht="13">
      <c r="A294" s="21"/>
      <c r="B294" s="21"/>
      <c r="C294" s="21"/>
    </row>
    <row r="295" spans="1:3" ht="13">
      <c r="A295" s="21"/>
      <c r="B295" s="21"/>
      <c r="C295" s="21"/>
    </row>
    <row r="296" spans="1:3" ht="13">
      <c r="A296" s="21"/>
      <c r="B296" s="21"/>
      <c r="C296" s="21"/>
    </row>
    <row r="297" spans="1:3" ht="13">
      <c r="A297" s="21"/>
      <c r="B297" s="21"/>
      <c r="C297" s="21"/>
    </row>
    <row r="298" spans="1:3" ht="13">
      <c r="A298" s="21"/>
      <c r="B298" s="21"/>
      <c r="C298" s="21"/>
    </row>
    <row r="299" spans="1:3" ht="13">
      <c r="A299" s="21"/>
      <c r="B299" s="21"/>
      <c r="C299" s="21"/>
    </row>
    <row r="300" spans="1:3" ht="13">
      <c r="A300" s="21"/>
      <c r="B300" s="21"/>
      <c r="C300" s="21"/>
    </row>
    <row r="301" spans="1:3" ht="13">
      <c r="A301" s="21"/>
      <c r="B301" s="21"/>
      <c r="C301" s="21"/>
    </row>
    <row r="302" spans="1:3" ht="13">
      <c r="A302" s="21"/>
      <c r="B302" s="21"/>
      <c r="C302" s="21"/>
    </row>
    <row r="303" spans="1:3" ht="13">
      <c r="A303" s="21"/>
      <c r="B303" s="21"/>
      <c r="C303" s="21"/>
    </row>
    <row r="304" spans="1:3" ht="13">
      <c r="A304" s="21"/>
      <c r="B304" s="21"/>
      <c r="C304" s="21"/>
    </row>
    <row r="305" spans="1:3" ht="13">
      <c r="A305" s="21"/>
      <c r="B305" s="21"/>
      <c r="C305" s="21"/>
    </row>
    <row r="306" spans="1:3" ht="13">
      <c r="A306" s="21"/>
      <c r="B306" s="21"/>
      <c r="C306" s="21"/>
    </row>
    <row r="307" spans="1:3" ht="13">
      <c r="A307" s="21"/>
      <c r="B307" s="21"/>
      <c r="C307" s="21"/>
    </row>
    <row r="308" spans="1:3" ht="13">
      <c r="A308" s="21"/>
      <c r="B308" s="21"/>
      <c r="C308" s="21"/>
    </row>
    <row r="309" spans="1:3" ht="13">
      <c r="A309" s="21"/>
      <c r="B309" s="21"/>
      <c r="C309" s="21"/>
    </row>
    <row r="310" spans="1:3" ht="13">
      <c r="A310" s="21"/>
      <c r="B310" s="21"/>
      <c r="C310" s="21"/>
    </row>
    <row r="311" spans="1:3" ht="13">
      <c r="A311" s="21"/>
      <c r="B311" s="21"/>
      <c r="C311" s="21"/>
    </row>
    <row r="312" spans="1:3" ht="13">
      <c r="A312" s="21"/>
      <c r="B312" s="21"/>
      <c r="C312" s="21"/>
    </row>
    <row r="313" spans="1:3" ht="13">
      <c r="A313" s="21"/>
      <c r="B313" s="21"/>
      <c r="C313" s="21"/>
    </row>
    <row r="314" spans="1:3" ht="13">
      <c r="A314" s="21"/>
      <c r="B314" s="21"/>
      <c r="C314" s="21"/>
    </row>
    <row r="315" spans="1:3" ht="13">
      <c r="A315" s="21"/>
      <c r="B315" s="21"/>
      <c r="C315" s="21"/>
    </row>
    <row r="316" spans="1:3" ht="13">
      <c r="A316" s="21"/>
      <c r="B316" s="21"/>
      <c r="C316" s="21"/>
    </row>
    <row r="317" spans="1:3" ht="13">
      <c r="A317" s="21"/>
      <c r="B317" s="21"/>
      <c r="C317" s="21"/>
    </row>
    <row r="318" spans="1:3" ht="13">
      <c r="A318" s="21"/>
      <c r="B318" s="21"/>
      <c r="C318" s="21"/>
    </row>
    <row r="319" spans="1:3" ht="13">
      <c r="A319" s="21"/>
      <c r="B319" s="21"/>
      <c r="C319" s="21"/>
    </row>
    <row r="320" spans="1:3" ht="13">
      <c r="A320" s="21"/>
      <c r="B320" s="21"/>
      <c r="C320" s="21"/>
    </row>
    <row r="321" spans="1:3" ht="13">
      <c r="A321" s="21"/>
      <c r="B321" s="21"/>
      <c r="C321" s="21"/>
    </row>
    <row r="322" spans="1:3" ht="13">
      <c r="A322" s="21"/>
      <c r="B322" s="21"/>
      <c r="C322" s="21"/>
    </row>
    <row r="323" spans="1:3" ht="13">
      <c r="A323" s="21"/>
      <c r="B323" s="21"/>
      <c r="C323" s="21"/>
    </row>
    <row r="324" spans="1:3" ht="13">
      <c r="A324" s="21"/>
      <c r="B324" s="21"/>
      <c r="C324" s="21"/>
    </row>
    <row r="325" spans="1:3" ht="13">
      <c r="A325" s="21"/>
      <c r="B325" s="21"/>
      <c r="C325" s="21"/>
    </row>
    <row r="326" spans="1:3" ht="13">
      <c r="A326" s="21"/>
      <c r="B326" s="21"/>
      <c r="C326" s="21"/>
    </row>
    <row r="327" spans="1:3" ht="13">
      <c r="A327" s="21"/>
      <c r="B327" s="21"/>
      <c r="C327" s="21"/>
    </row>
    <row r="328" spans="1:3" ht="13">
      <c r="A328" s="21"/>
      <c r="B328" s="21"/>
      <c r="C328" s="21"/>
    </row>
    <row r="329" spans="1:3" ht="13">
      <c r="A329" s="21"/>
      <c r="B329" s="21"/>
      <c r="C329" s="21"/>
    </row>
    <row r="330" spans="1:3" ht="13">
      <c r="A330" s="21"/>
      <c r="B330" s="21"/>
      <c r="C330" s="21"/>
    </row>
    <row r="331" spans="1:3" ht="13">
      <c r="A331" s="21"/>
      <c r="B331" s="21"/>
      <c r="C331" s="21"/>
    </row>
    <row r="332" spans="1:3" ht="13">
      <c r="A332" s="21"/>
      <c r="B332" s="21"/>
      <c r="C332" s="21"/>
    </row>
    <row r="333" spans="1:3" ht="13">
      <c r="A333" s="21"/>
      <c r="B333" s="21"/>
      <c r="C333" s="21"/>
    </row>
    <row r="334" spans="1:3" ht="13">
      <c r="A334" s="21"/>
      <c r="B334" s="21"/>
      <c r="C334" s="21"/>
    </row>
    <row r="335" spans="1:3" ht="13">
      <c r="A335" s="21"/>
      <c r="B335" s="21"/>
      <c r="C335" s="21"/>
    </row>
    <row r="336" spans="1:3" ht="13">
      <c r="A336" s="21"/>
      <c r="B336" s="21"/>
      <c r="C336" s="21"/>
    </row>
    <row r="337" spans="1:3" ht="13">
      <c r="A337" s="21"/>
      <c r="B337" s="21"/>
      <c r="C337" s="21"/>
    </row>
    <row r="338" spans="1:3" ht="13">
      <c r="A338" s="21"/>
      <c r="B338" s="21"/>
      <c r="C338" s="21"/>
    </row>
    <row r="339" spans="1:3" ht="13">
      <c r="A339" s="21"/>
      <c r="B339" s="21"/>
      <c r="C339" s="21"/>
    </row>
    <row r="340" spans="1:3" ht="13">
      <c r="A340" s="21"/>
      <c r="B340" s="21"/>
      <c r="C340" s="21"/>
    </row>
    <row r="341" spans="1:3" ht="13">
      <c r="A341" s="21"/>
      <c r="B341" s="21"/>
      <c r="C341" s="21"/>
    </row>
    <row r="342" spans="1:3" ht="13">
      <c r="A342" s="21"/>
      <c r="B342" s="21"/>
      <c r="C342" s="21"/>
    </row>
    <row r="343" spans="1:3" ht="13">
      <c r="A343" s="21"/>
      <c r="B343" s="21"/>
      <c r="C343" s="21"/>
    </row>
    <row r="344" spans="1:3" ht="13">
      <c r="A344" s="21"/>
      <c r="B344" s="21"/>
      <c r="C344" s="21"/>
    </row>
    <row r="345" spans="1:3" ht="13">
      <c r="A345" s="21"/>
      <c r="B345" s="21"/>
      <c r="C345" s="21"/>
    </row>
    <row r="346" spans="1:3" ht="13">
      <c r="A346" s="21"/>
      <c r="B346" s="21"/>
      <c r="C346" s="21"/>
    </row>
    <row r="347" spans="1:3" ht="13">
      <c r="A347" s="21"/>
      <c r="B347" s="21"/>
      <c r="C347" s="21"/>
    </row>
    <row r="348" spans="1:3" ht="13">
      <c r="A348" s="21"/>
      <c r="B348" s="21"/>
      <c r="C348" s="21"/>
    </row>
    <row r="349" spans="1:3" ht="13">
      <c r="A349" s="21"/>
      <c r="B349" s="21"/>
      <c r="C349" s="21"/>
    </row>
    <row r="350" spans="1:3" ht="13">
      <c r="A350" s="21"/>
      <c r="B350" s="21"/>
      <c r="C350" s="21"/>
    </row>
    <row r="351" spans="1:3" ht="13">
      <c r="A351" s="21"/>
      <c r="B351" s="21"/>
      <c r="C351" s="21"/>
    </row>
    <row r="352" spans="1:3" ht="13">
      <c r="A352" s="21"/>
      <c r="B352" s="21"/>
      <c r="C352" s="21"/>
    </row>
    <row r="353" spans="1:3" ht="13">
      <c r="A353" s="21"/>
      <c r="B353" s="21"/>
      <c r="C353" s="21"/>
    </row>
    <row r="354" spans="1:3" ht="13">
      <c r="A354" s="21"/>
      <c r="B354" s="21"/>
      <c r="C354" s="21"/>
    </row>
    <row r="355" spans="1:3" ht="13">
      <c r="A355" s="21"/>
      <c r="B355" s="21"/>
      <c r="C355" s="21"/>
    </row>
    <row r="356" spans="1:3" ht="13">
      <c r="A356" s="21"/>
      <c r="B356" s="21"/>
      <c r="C356" s="21"/>
    </row>
    <row r="357" spans="1:3" ht="13">
      <c r="A357" s="21"/>
      <c r="B357" s="21"/>
      <c r="C357" s="21"/>
    </row>
    <row r="358" spans="1:3" ht="13">
      <c r="A358" s="21"/>
      <c r="B358" s="21"/>
      <c r="C358" s="21"/>
    </row>
    <row r="359" spans="1:3" ht="13">
      <c r="A359" s="21"/>
      <c r="B359" s="21"/>
      <c r="C359" s="21"/>
    </row>
    <row r="360" spans="1:3" ht="13">
      <c r="A360" s="21"/>
      <c r="B360" s="21"/>
      <c r="C360" s="21"/>
    </row>
    <row r="361" spans="1:3" ht="13">
      <c r="A361" s="21"/>
      <c r="B361" s="21"/>
      <c r="C361" s="21"/>
    </row>
    <row r="362" spans="1:3" ht="13">
      <c r="A362" s="21"/>
      <c r="B362" s="21"/>
      <c r="C362" s="21"/>
    </row>
    <row r="363" spans="1:3" ht="13">
      <c r="A363" s="21"/>
      <c r="B363" s="21"/>
      <c r="C363" s="21"/>
    </row>
    <row r="364" spans="1:3" ht="13">
      <c r="A364" s="21"/>
      <c r="B364" s="21"/>
      <c r="C364" s="21"/>
    </row>
    <row r="365" spans="1:3" ht="13">
      <c r="A365" s="21"/>
      <c r="B365" s="21"/>
      <c r="C365" s="21"/>
    </row>
    <row r="366" spans="1:3" ht="13">
      <c r="A366" s="21"/>
      <c r="B366" s="21"/>
      <c r="C366" s="21"/>
    </row>
    <row r="367" spans="1:3" ht="13">
      <c r="A367" s="21"/>
      <c r="B367" s="21"/>
      <c r="C367" s="21"/>
    </row>
    <row r="368" spans="1:3" ht="13">
      <c r="A368" s="21"/>
      <c r="B368" s="21"/>
      <c r="C368" s="21"/>
    </row>
    <row r="369" spans="1:3" ht="13">
      <c r="A369" s="21"/>
      <c r="B369" s="21"/>
      <c r="C369" s="21"/>
    </row>
    <row r="370" spans="1:3" ht="13">
      <c r="A370" s="21"/>
      <c r="B370" s="21"/>
      <c r="C370" s="21"/>
    </row>
    <row r="371" spans="1:3" ht="13">
      <c r="A371" s="21"/>
      <c r="B371" s="21"/>
      <c r="C371" s="21"/>
    </row>
    <row r="372" spans="1:3" ht="13">
      <c r="A372" s="21"/>
      <c r="B372" s="21"/>
      <c r="C372" s="21"/>
    </row>
    <row r="373" spans="1:3" ht="13">
      <c r="A373" s="21"/>
      <c r="B373" s="21"/>
      <c r="C373" s="21"/>
    </row>
    <row r="374" spans="1:3" ht="13">
      <c r="A374" s="21"/>
      <c r="B374" s="21"/>
      <c r="C374" s="21"/>
    </row>
    <row r="375" spans="1:3" ht="13">
      <c r="A375" s="21"/>
      <c r="B375" s="21"/>
      <c r="C375" s="21"/>
    </row>
    <row r="376" spans="1:3" ht="13">
      <c r="A376" s="21"/>
      <c r="B376" s="21"/>
      <c r="C376" s="21"/>
    </row>
    <row r="377" spans="1:3" ht="13">
      <c r="A377" s="21"/>
      <c r="B377" s="21"/>
      <c r="C377" s="21"/>
    </row>
    <row r="378" spans="1:3" ht="13">
      <c r="A378" s="21"/>
      <c r="B378" s="21"/>
      <c r="C378" s="21"/>
    </row>
    <row r="379" spans="1:3" ht="13">
      <c r="A379" s="21"/>
      <c r="B379" s="21"/>
      <c r="C379" s="21"/>
    </row>
    <row r="380" spans="1:3" ht="13">
      <c r="A380" s="21"/>
      <c r="B380" s="21"/>
      <c r="C380" s="21"/>
    </row>
    <row r="381" spans="1:3" ht="13">
      <c r="A381" s="21"/>
      <c r="B381" s="21"/>
      <c r="C381" s="21"/>
    </row>
    <row r="382" spans="1:3" ht="13">
      <c r="A382" s="21"/>
      <c r="B382" s="21"/>
      <c r="C382" s="21"/>
    </row>
    <row r="383" spans="1:3" ht="13">
      <c r="A383" s="21"/>
      <c r="B383" s="21"/>
      <c r="C383" s="21"/>
    </row>
    <row r="384" spans="1:3" ht="13">
      <c r="A384" s="21"/>
      <c r="B384" s="21"/>
      <c r="C384" s="21"/>
    </row>
    <row r="385" spans="1:3" ht="13">
      <c r="A385" s="21"/>
      <c r="B385" s="21"/>
      <c r="C385" s="21"/>
    </row>
    <row r="386" spans="1:3" ht="13">
      <c r="A386" s="21"/>
      <c r="B386" s="21"/>
      <c r="C386" s="21"/>
    </row>
    <row r="387" spans="1:3" ht="13">
      <c r="A387" s="21"/>
      <c r="B387" s="21"/>
      <c r="C387" s="21"/>
    </row>
    <row r="388" spans="1:3" ht="13">
      <c r="A388" s="21"/>
      <c r="B388" s="21"/>
      <c r="C388" s="21"/>
    </row>
    <row r="389" spans="1:3" ht="13">
      <c r="A389" s="21"/>
      <c r="B389" s="21"/>
      <c r="C389" s="21"/>
    </row>
    <row r="390" spans="1:3" ht="13">
      <c r="A390" s="21"/>
      <c r="B390" s="21"/>
      <c r="C390" s="21"/>
    </row>
    <row r="391" spans="1:3" ht="13">
      <c r="A391" s="21"/>
      <c r="B391" s="21"/>
      <c r="C391" s="21"/>
    </row>
    <row r="392" spans="1:3" ht="13">
      <c r="A392" s="21"/>
      <c r="B392" s="21"/>
      <c r="C392" s="21"/>
    </row>
    <row r="393" spans="1:3" ht="13">
      <c r="A393" s="21"/>
      <c r="B393" s="21"/>
      <c r="C393" s="21"/>
    </row>
    <row r="394" spans="1:3" ht="13">
      <c r="A394" s="21"/>
      <c r="B394" s="21"/>
      <c r="C394" s="21"/>
    </row>
    <row r="395" spans="1:3" ht="13">
      <c r="A395" s="21"/>
      <c r="B395" s="21"/>
      <c r="C395" s="21"/>
    </row>
    <row r="396" spans="1:3" ht="13">
      <c r="A396" s="21"/>
      <c r="B396" s="21"/>
      <c r="C396" s="21"/>
    </row>
    <row r="397" spans="1:3" ht="13">
      <c r="A397" s="21"/>
      <c r="B397" s="21"/>
      <c r="C397" s="21"/>
    </row>
    <row r="398" spans="1:3" ht="13">
      <c r="A398" s="21"/>
      <c r="B398" s="21"/>
      <c r="C398" s="21"/>
    </row>
    <row r="399" spans="1:3" ht="13">
      <c r="A399" s="21"/>
      <c r="B399" s="21"/>
      <c r="C399" s="21"/>
    </row>
    <row r="400" spans="1:3" ht="13">
      <c r="A400" s="21"/>
      <c r="B400" s="21"/>
      <c r="C400" s="21"/>
    </row>
    <row r="401" spans="1:3" ht="13">
      <c r="A401" s="21"/>
      <c r="B401" s="21"/>
      <c r="C401" s="21"/>
    </row>
    <row r="402" spans="1:3" ht="13">
      <c r="A402" s="21"/>
      <c r="B402" s="21"/>
      <c r="C402" s="21"/>
    </row>
    <row r="403" spans="1:3" ht="13">
      <c r="A403" s="21"/>
      <c r="B403" s="21"/>
      <c r="C403" s="21"/>
    </row>
    <row r="404" spans="1:3" ht="13">
      <c r="A404" s="21"/>
      <c r="B404" s="21"/>
      <c r="C404" s="21"/>
    </row>
    <row r="405" spans="1:3" ht="13">
      <c r="A405" s="21"/>
      <c r="B405" s="21"/>
      <c r="C405" s="21"/>
    </row>
    <row r="406" spans="1:3" ht="13">
      <c r="A406" s="21"/>
      <c r="B406" s="21"/>
      <c r="C406" s="21"/>
    </row>
    <row r="407" spans="1:3" ht="13">
      <c r="A407" s="21"/>
      <c r="B407" s="21"/>
      <c r="C407" s="21"/>
    </row>
    <row r="408" spans="1:3" ht="13">
      <c r="A408" s="21"/>
      <c r="B408" s="21"/>
      <c r="C408" s="21"/>
    </row>
    <row r="409" spans="1:3" ht="13">
      <c r="A409" s="21"/>
      <c r="B409" s="21"/>
      <c r="C409" s="21"/>
    </row>
    <row r="410" spans="1:3" ht="13">
      <c r="A410" s="21"/>
      <c r="B410" s="21"/>
      <c r="C410" s="21"/>
    </row>
    <row r="411" spans="1:3" ht="13">
      <c r="A411" s="21"/>
      <c r="B411" s="21"/>
      <c r="C411" s="21"/>
    </row>
    <row r="412" spans="1:3" ht="13">
      <c r="A412" s="21"/>
      <c r="B412" s="21"/>
      <c r="C412" s="21"/>
    </row>
    <row r="413" spans="1:3" ht="13">
      <c r="A413" s="21"/>
      <c r="B413" s="21"/>
      <c r="C413" s="21"/>
    </row>
    <row r="414" spans="1:3" ht="13">
      <c r="A414" s="21"/>
      <c r="B414" s="21"/>
      <c r="C414" s="21"/>
    </row>
    <row r="415" spans="1:3" ht="13">
      <c r="A415" s="21"/>
      <c r="B415" s="21"/>
      <c r="C415" s="21"/>
    </row>
    <row r="416" spans="1:3" ht="13">
      <c r="A416" s="21"/>
      <c r="B416" s="21"/>
      <c r="C416" s="21"/>
    </row>
    <row r="417" spans="1:3" ht="13">
      <c r="A417" s="21"/>
      <c r="B417" s="21"/>
      <c r="C417" s="21"/>
    </row>
    <row r="418" spans="1:3" ht="13">
      <c r="A418" s="21"/>
      <c r="B418" s="21"/>
      <c r="C418" s="21"/>
    </row>
    <row r="419" spans="1:3" ht="13">
      <c r="A419" s="21"/>
      <c r="B419" s="21"/>
      <c r="C419" s="21"/>
    </row>
    <row r="420" spans="1:3" ht="13">
      <c r="A420" s="21"/>
      <c r="B420" s="21"/>
      <c r="C420" s="21"/>
    </row>
    <row r="421" spans="1:3" ht="13">
      <c r="A421" s="21"/>
      <c r="B421" s="21"/>
      <c r="C421" s="21"/>
    </row>
    <row r="422" spans="1:3" ht="13">
      <c r="A422" s="21"/>
      <c r="B422" s="21"/>
      <c r="C422" s="21"/>
    </row>
    <row r="423" spans="1:3" ht="13">
      <c r="A423" s="21"/>
      <c r="B423" s="21"/>
      <c r="C423" s="21"/>
    </row>
    <row r="424" spans="1:3" ht="13">
      <c r="A424" s="21"/>
      <c r="B424" s="21"/>
      <c r="C424" s="21"/>
    </row>
    <row r="425" spans="1:3" ht="13">
      <c r="A425" s="21"/>
      <c r="B425" s="21"/>
      <c r="C425" s="21"/>
    </row>
    <row r="426" spans="1:3" ht="13">
      <c r="A426" s="21"/>
      <c r="B426" s="21"/>
      <c r="C426" s="21"/>
    </row>
    <row r="427" spans="1:3" ht="13">
      <c r="A427" s="21"/>
      <c r="B427" s="21"/>
      <c r="C427" s="21"/>
    </row>
    <row r="428" spans="1:3" ht="13">
      <c r="A428" s="21"/>
      <c r="B428" s="21"/>
      <c r="C428" s="21"/>
    </row>
    <row r="429" spans="1:3" ht="13">
      <c r="A429" s="21"/>
      <c r="B429" s="21"/>
      <c r="C429" s="21"/>
    </row>
    <row r="430" spans="1:3" ht="13">
      <c r="A430" s="21"/>
      <c r="B430" s="21"/>
      <c r="C430" s="21"/>
    </row>
    <row r="431" spans="1:3" ht="13">
      <c r="A431" s="21"/>
      <c r="B431" s="21"/>
      <c r="C431" s="21"/>
    </row>
    <row r="432" spans="1:3" ht="13">
      <c r="A432" s="21"/>
      <c r="B432" s="21"/>
      <c r="C432" s="21"/>
    </row>
    <row r="433" spans="1:3" ht="13">
      <c r="A433" s="21"/>
      <c r="B433" s="21"/>
      <c r="C433" s="21"/>
    </row>
    <row r="434" spans="1:3" ht="13">
      <c r="A434" s="21"/>
      <c r="B434" s="21"/>
      <c r="C434" s="21"/>
    </row>
    <row r="435" spans="1:3" ht="13">
      <c r="A435" s="21"/>
      <c r="B435" s="21"/>
      <c r="C435" s="21"/>
    </row>
    <row r="436" spans="1:3" ht="13">
      <c r="A436" s="21"/>
      <c r="B436" s="21"/>
      <c r="C436" s="21"/>
    </row>
    <row r="437" spans="1:3" ht="13">
      <c r="A437" s="21"/>
      <c r="B437" s="21"/>
      <c r="C437" s="21"/>
    </row>
    <row r="438" spans="1:3" ht="13">
      <c r="A438" s="21"/>
      <c r="B438" s="21"/>
      <c r="C438" s="21"/>
    </row>
    <row r="439" spans="1:3" ht="13">
      <c r="A439" s="21"/>
      <c r="B439" s="21"/>
      <c r="C439" s="21"/>
    </row>
    <row r="440" spans="1:3" ht="13">
      <c r="A440" s="21"/>
      <c r="B440" s="21"/>
      <c r="C440" s="21"/>
    </row>
    <row r="441" spans="1:3" ht="13">
      <c r="A441" s="21"/>
      <c r="B441" s="21"/>
      <c r="C441" s="21"/>
    </row>
    <row r="442" spans="1:3" ht="13">
      <c r="A442" s="21"/>
      <c r="B442" s="21"/>
      <c r="C442" s="21"/>
    </row>
    <row r="443" spans="1:3" ht="13">
      <c r="A443" s="21"/>
      <c r="B443" s="21"/>
      <c r="C443" s="21"/>
    </row>
    <row r="444" spans="1:3" ht="13">
      <c r="A444" s="21"/>
      <c r="B444" s="21"/>
      <c r="C444" s="21"/>
    </row>
    <row r="445" spans="1:3" ht="13">
      <c r="A445" s="21"/>
      <c r="B445" s="21"/>
      <c r="C445" s="21"/>
    </row>
    <row r="446" spans="1:3" ht="13">
      <c r="A446" s="21"/>
      <c r="B446" s="21"/>
      <c r="C446" s="21"/>
    </row>
    <row r="447" spans="1:3" ht="13">
      <c r="A447" s="21"/>
      <c r="B447" s="21"/>
      <c r="C447" s="21"/>
    </row>
    <row r="448" spans="1:3" ht="13">
      <c r="A448" s="21"/>
      <c r="B448" s="21"/>
      <c r="C448" s="21"/>
    </row>
    <row r="449" spans="1:3" ht="13">
      <c r="A449" s="21"/>
      <c r="B449" s="21"/>
      <c r="C449" s="21"/>
    </row>
    <row r="450" spans="1:3" ht="13">
      <c r="A450" s="21"/>
      <c r="B450" s="21"/>
      <c r="C450" s="21"/>
    </row>
    <row r="451" spans="1:3" ht="13">
      <c r="A451" s="21"/>
      <c r="B451" s="21"/>
      <c r="C451" s="21"/>
    </row>
    <row r="452" spans="1:3" ht="13">
      <c r="A452" s="21"/>
      <c r="B452" s="21"/>
      <c r="C452" s="21"/>
    </row>
    <row r="453" spans="1:3" ht="13">
      <c r="A453" s="21"/>
      <c r="B453" s="21"/>
      <c r="C453" s="21"/>
    </row>
    <row r="454" spans="1:3" ht="13">
      <c r="A454" s="21"/>
      <c r="B454" s="21"/>
      <c r="C454" s="21"/>
    </row>
    <row r="455" spans="1:3" ht="13">
      <c r="A455" s="21"/>
      <c r="B455" s="21"/>
      <c r="C455" s="21"/>
    </row>
    <row r="456" spans="1:3" ht="13">
      <c r="A456" s="21"/>
      <c r="B456" s="21"/>
      <c r="C456" s="21"/>
    </row>
    <row r="457" spans="1:3" ht="13">
      <c r="A457" s="21"/>
      <c r="B457" s="21"/>
      <c r="C457" s="21"/>
    </row>
    <row r="458" spans="1:3" ht="13">
      <c r="A458" s="21"/>
      <c r="B458" s="21"/>
      <c r="C458" s="21"/>
    </row>
    <row r="459" spans="1:3" ht="13">
      <c r="A459" s="21"/>
      <c r="B459" s="21"/>
      <c r="C459" s="21"/>
    </row>
    <row r="460" spans="1:3" ht="13">
      <c r="A460" s="21"/>
      <c r="B460" s="21"/>
      <c r="C460" s="21"/>
    </row>
    <row r="461" spans="1:3" ht="13">
      <c r="A461" s="21"/>
      <c r="B461" s="21"/>
      <c r="C461" s="21"/>
    </row>
    <row r="462" spans="1:3" ht="13">
      <c r="A462" s="21"/>
      <c r="B462" s="21"/>
      <c r="C462" s="21"/>
    </row>
    <row r="463" spans="1:3" ht="13">
      <c r="A463" s="21"/>
      <c r="B463" s="21"/>
      <c r="C463" s="21"/>
    </row>
    <row r="464" spans="1:3" ht="13">
      <c r="A464" s="21"/>
      <c r="B464" s="21"/>
      <c r="C464" s="21"/>
    </row>
    <row r="465" spans="1:3" ht="13">
      <c r="A465" s="21"/>
      <c r="B465" s="21"/>
      <c r="C465" s="21"/>
    </row>
    <row r="466" spans="1:3" ht="13">
      <c r="A466" s="21"/>
      <c r="B466" s="21"/>
      <c r="C466" s="21"/>
    </row>
    <row r="467" spans="1:3" ht="13">
      <c r="A467" s="21"/>
      <c r="B467" s="21"/>
      <c r="C467" s="21"/>
    </row>
    <row r="468" spans="1:3" ht="13">
      <c r="A468" s="21"/>
      <c r="B468" s="21"/>
      <c r="C468" s="21"/>
    </row>
    <row r="469" spans="1:3" ht="13">
      <c r="A469" s="21"/>
      <c r="B469" s="21"/>
      <c r="C469" s="21"/>
    </row>
    <row r="470" spans="1:3" ht="13">
      <c r="A470" s="21"/>
      <c r="B470" s="21"/>
      <c r="C470" s="21"/>
    </row>
    <row r="471" spans="1:3" ht="13">
      <c r="A471" s="21"/>
      <c r="B471" s="21"/>
      <c r="C471" s="21"/>
    </row>
    <row r="472" spans="1:3" ht="13">
      <c r="A472" s="21"/>
      <c r="B472" s="21"/>
      <c r="C472" s="21"/>
    </row>
    <row r="473" spans="1:3" ht="13">
      <c r="A473" s="21"/>
      <c r="B473" s="21"/>
      <c r="C473" s="21"/>
    </row>
    <row r="474" spans="1:3" ht="13">
      <c r="A474" s="21"/>
      <c r="B474" s="21"/>
      <c r="C474" s="21"/>
    </row>
    <row r="475" spans="1:3" ht="13">
      <c r="A475" s="21"/>
      <c r="B475" s="21"/>
      <c r="C475" s="21"/>
    </row>
    <row r="476" spans="1:3" ht="13">
      <c r="A476" s="21"/>
      <c r="B476" s="21"/>
      <c r="C476" s="21"/>
    </row>
    <row r="477" spans="1:3" ht="13">
      <c r="A477" s="21"/>
      <c r="B477" s="21"/>
      <c r="C477" s="21"/>
    </row>
    <row r="478" spans="1:3" ht="13">
      <c r="A478" s="21"/>
      <c r="B478" s="21"/>
      <c r="C478" s="21"/>
    </row>
    <row r="479" spans="1:3" ht="13">
      <c r="A479" s="21"/>
      <c r="B479" s="21"/>
      <c r="C479" s="21"/>
    </row>
    <row r="480" spans="1:3" ht="13">
      <c r="A480" s="21"/>
      <c r="B480" s="21"/>
      <c r="C480" s="21"/>
    </row>
    <row r="481" spans="1:3" ht="13">
      <c r="A481" s="21"/>
      <c r="B481" s="21"/>
      <c r="C481" s="21"/>
    </row>
    <row r="482" spans="1:3" ht="13">
      <c r="A482" s="21"/>
      <c r="B482" s="21"/>
      <c r="C482" s="21"/>
    </row>
    <row r="483" spans="1:3" ht="13">
      <c r="A483" s="21"/>
      <c r="B483" s="21"/>
      <c r="C483" s="21"/>
    </row>
    <row r="484" spans="1:3" ht="13">
      <c r="A484" s="21"/>
      <c r="B484" s="21"/>
      <c r="C484" s="21"/>
    </row>
    <row r="485" spans="1:3" ht="13">
      <c r="A485" s="21"/>
      <c r="B485" s="21"/>
      <c r="C485" s="21"/>
    </row>
    <row r="486" spans="1:3" ht="13">
      <c r="A486" s="21"/>
      <c r="B486" s="21"/>
      <c r="C486" s="21"/>
    </row>
    <row r="487" spans="1:3" ht="13">
      <c r="A487" s="21"/>
      <c r="B487" s="21"/>
      <c r="C487" s="21"/>
    </row>
    <row r="488" spans="1:3" ht="13">
      <c r="A488" s="21"/>
      <c r="B488" s="21"/>
      <c r="C488" s="21"/>
    </row>
    <row r="489" spans="1:3" ht="13">
      <c r="A489" s="21"/>
      <c r="B489" s="21"/>
      <c r="C489" s="21"/>
    </row>
    <row r="490" spans="1:3" ht="13">
      <c r="A490" s="21"/>
      <c r="B490" s="21"/>
      <c r="C490" s="21"/>
    </row>
    <row r="491" spans="1:3" ht="13">
      <c r="A491" s="21"/>
      <c r="B491" s="21"/>
      <c r="C491" s="21"/>
    </row>
    <row r="492" spans="1:3" ht="13">
      <c r="A492" s="21"/>
      <c r="B492" s="21"/>
      <c r="C492" s="21"/>
    </row>
    <row r="493" spans="1:3" ht="13">
      <c r="A493" s="21"/>
      <c r="B493" s="21"/>
      <c r="C493" s="21"/>
    </row>
    <row r="494" spans="1:3" ht="13">
      <c r="A494" s="21"/>
      <c r="B494" s="21"/>
      <c r="C494" s="21"/>
    </row>
    <row r="495" spans="1:3" ht="13">
      <c r="A495" s="21"/>
      <c r="B495" s="21"/>
      <c r="C495" s="21"/>
    </row>
    <row r="496" spans="1:3" ht="13">
      <c r="A496" s="21"/>
      <c r="B496" s="21"/>
      <c r="C496" s="21"/>
    </row>
    <row r="497" spans="1:3" ht="13">
      <c r="A497" s="21"/>
      <c r="B497" s="21"/>
      <c r="C497" s="21"/>
    </row>
    <row r="498" spans="1:3" ht="13">
      <c r="A498" s="21"/>
      <c r="B498" s="21"/>
      <c r="C498" s="21"/>
    </row>
    <row r="499" spans="1:3" ht="13">
      <c r="A499" s="21"/>
      <c r="B499" s="21"/>
      <c r="C499" s="21"/>
    </row>
    <row r="500" spans="1:3" ht="13">
      <c r="A500" s="21"/>
      <c r="B500" s="21"/>
      <c r="C500" s="21"/>
    </row>
    <row r="501" spans="1:3" ht="13">
      <c r="A501" s="21"/>
      <c r="B501" s="21"/>
      <c r="C501" s="21"/>
    </row>
    <row r="502" spans="1:3" ht="13">
      <c r="A502" s="21"/>
      <c r="B502" s="21"/>
      <c r="C502" s="21"/>
    </row>
    <row r="503" spans="1:3" ht="13">
      <c r="A503" s="21"/>
      <c r="B503" s="21"/>
      <c r="C503" s="21"/>
    </row>
    <row r="504" spans="1:3" ht="13">
      <c r="A504" s="21"/>
      <c r="B504" s="21"/>
      <c r="C504" s="21"/>
    </row>
    <row r="505" spans="1:3" ht="13">
      <c r="A505" s="21"/>
      <c r="B505" s="21"/>
      <c r="C505" s="21"/>
    </row>
    <row r="506" spans="1:3" ht="13">
      <c r="A506" s="21"/>
      <c r="B506" s="21"/>
      <c r="C506" s="21"/>
    </row>
    <row r="507" spans="1:3" ht="13">
      <c r="A507" s="21"/>
      <c r="B507" s="21"/>
      <c r="C507" s="21"/>
    </row>
    <row r="508" spans="1:3" ht="13">
      <c r="A508" s="21"/>
      <c r="B508" s="21"/>
      <c r="C508" s="21"/>
    </row>
    <row r="509" spans="1:3" ht="13">
      <c r="A509" s="21"/>
      <c r="B509" s="21"/>
      <c r="C509" s="21"/>
    </row>
    <row r="510" spans="1:3" ht="13">
      <c r="A510" s="21"/>
      <c r="B510" s="21"/>
      <c r="C510" s="21"/>
    </row>
    <row r="511" spans="1:3" ht="13">
      <c r="A511" s="21"/>
      <c r="B511" s="21"/>
      <c r="C511" s="21"/>
    </row>
    <row r="512" spans="1:3" ht="13">
      <c r="A512" s="21"/>
      <c r="B512" s="21"/>
      <c r="C512" s="21"/>
    </row>
    <row r="513" spans="1:3" ht="13">
      <c r="A513" s="21"/>
      <c r="B513" s="21"/>
      <c r="C513" s="21"/>
    </row>
    <row r="514" spans="1:3" ht="13">
      <c r="A514" s="21"/>
      <c r="B514" s="21"/>
      <c r="C514" s="21"/>
    </row>
    <row r="515" spans="1:3" ht="13">
      <c r="A515" s="21"/>
      <c r="B515" s="21"/>
      <c r="C515" s="21"/>
    </row>
    <row r="516" spans="1:3" ht="13">
      <c r="A516" s="21"/>
      <c r="B516" s="21"/>
      <c r="C516" s="21"/>
    </row>
    <row r="517" spans="1:3" ht="13">
      <c r="A517" s="21"/>
      <c r="B517" s="21"/>
      <c r="C517" s="21"/>
    </row>
    <row r="518" spans="1:3" ht="13">
      <c r="A518" s="21"/>
      <c r="B518" s="21"/>
      <c r="C518" s="21"/>
    </row>
    <row r="519" spans="1:3" ht="13">
      <c r="A519" s="21"/>
      <c r="B519" s="21"/>
      <c r="C519" s="21"/>
    </row>
    <row r="520" spans="1:3" ht="13">
      <c r="A520" s="21"/>
      <c r="B520" s="21"/>
      <c r="C520" s="21"/>
    </row>
    <row r="521" spans="1:3" ht="13">
      <c r="A521" s="21"/>
      <c r="B521" s="21"/>
      <c r="C521" s="21"/>
    </row>
    <row r="522" spans="1:3" ht="13">
      <c r="A522" s="21"/>
      <c r="B522" s="21"/>
      <c r="C522" s="21"/>
    </row>
    <row r="523" spans="1:3" ht="13">
      <c r="A523" s="21"/>
      <c r="B523" s="21"/>
      <c r="C523" s="21"/>
    </row>
    <row r="524" spans="1:3" ht="13">
      <c r="A524" s="21"/>
      <c r="B524" s="21"/>
      <c r="C524" s="21"/>
    </row>
    <row r="525" spans="1:3" ht="13">
      <c r="A525" s="21"/>
      <c r="B525" s="21"/>
      <c r="C525" s="21"/>
    </row>
    <row r="526" spans="1:3" ht="13">
      <c r="A526" s="21"/>
      <c r="B526" s="21"/>
      <c r="C526" s="21"/>
    </row>
    <row r="527" spans="1:3" ht="13">
      <c r="A527" s="21"/>
      <c r="B527" s="21"/>
      <c r="C527" s="21"/>
    </row>
    <row r="528" spans="1:3" ht="13">
      <c r="A528" s="21"/>
      <c r="B528" s="21"/>
      <c r="C528" s="21"/>
    </row>
    <row r="529" spans="1:3" ht="13">
      <c r="A529" s="21"/>
      <c r="B529" s="21"/>
      <c r="C529" s="21"/>
    </row>
    <row r="530" spans="1:3" ht="13">
      <c r="A530" s="21"/>
      <c r="B530" s="21"/>
      <c r="C530" s="21"/>
    </row>
    <row r="531" spans="1:3" ht="13">
      <c r="A531" s="21"/>
      <c r="B531" s="21"/>
      <c r="C531" s="21"/>
    </row>
    <row r="532" spans="1:3" ht="13">
      <c r="A532" s="21"/>
      <c r="B532" s="21"/>
      <c r="C532" s="21"/>
    </row>
    <row r="533" spans="1:3" ht="13">
      <c r="A533" s="21"/>
      <c r="B533" s="21"/>
      <c r="C533" s="21"/>
    </row>
    <row r="534" spans="1:3" ht="13">
      <c r="A534" s="21"/>
      <c r="B534" s="21"/>
      <c r="C534" s="21"/>
    </row>
    <row r="535" spans="1:3" ht="13">
      <c r="A535" s="21"/>
      <c r="B535" s="21"/>
      <c r="C535" s="21"/>
    </row>
    <row r="536" spans="1:3" ht="13">
      <c r="A536" s="21"/>
      <c r="B536" s="21"/>
      <c r="C536" s="21"/>
    </row>
    <row r="537" spans="1:3" ht="13">
      <c r="A537" s="21"/>
      <c r="B537" s="21"/>
      <c r="C537" s="21"/>
    </row>
    <row r="538" spans="1:3" ht="13">
      <c r="A538" s="21"/>
      <c r="B538" s="21"/>
      <c r="C538" s="21"/>
    </row>
    <row r="539" spans="1:3" ht="13">
      <c r="A539" s="21"/>
      <c r="B539" s="21"/>
      <c r="C539" s="21"/>
    </row>
    <row r="540" spans="1:3" ht="13">
      <c r="A540" s="21"/>
      <c r="B540" s="21"/>
      <c r="C540" s="21"/>
    </row>
    <row r="541" spans="1:3" ht="13">
      <c r="A541" s="21"/>
      <c r="B541" s="21"/>
      <c r="C541" s="21"/>
    </row>
    <row r="542" spans="1:3" ht="13">
      <c r="A542" s="21"/>
      <c r="B542" s="21"/>
      <c r="C542" s="21"/>
    </row>
    <row r="543" spans="1:3" ht="13">
      <c r="A543" s="21"/>
      <c r="B543" s="21"/>
      <c r="C543" s="21"/>
    </row>
    <row r="544" spans="1:3" ht="13">
      <c r="A544" s="21"/>
      <c r="B544" s="21"/>
      <c r="C544" s="21"/>
    </row>
    <row r="545" spans="1:3" ht="13">
      <c r="A545" s="21"/>
      <c r="B545" s="21"/>
      <c r="C545" s="21"/>
    </row>
    <row r="546" spans="1:3" ht="13">
      <c r="A546" s="21"/>
      <c r="B546" s="21"/>
      <c r="C546" s="21"/>
    </row>
    <row r="547" spans="1:3" ht="13">
      <c r="A547" s="21"/>
      <c r="B547" s="21"/>
      <c r="C547" s="21"/>
    </row>
    <row r="548" spans="1:3" ht="13">
      <c r="A548" s="21"/>
      <c r="B548" s="21"/>
      <c r="C548" s="21"/>
    </row>
    <row r="549" spans="1:3" ht="13">
      <c r="A549" s="21"/>
      <c r="B549" s="21"/>
      <c r="C549" s="21"/>
    </row>
    <row r="550" spans="1:3" ht="13">
      <c r="A550" s="21"/>
      <c r="B550" s="21"/>
      <c r="C550" s="21"/>
    </row>
    <row r="551" spans="1:3" ht="13">
      <c r="A551" s="21"/>
      <c r="B551" s="21"/>
      <c r="C551" s="21"/>
    </row>
    <row r="552" spans="1:3" ht="13">
      <c r="A552" s="21"/>
      <c r="B552" s="21"/>
      <c r="C552" s="21"/>
    </row>
    <row r="553" spans="1:3" ht="13">
      <c r="A553" s="21"/>
      <c r="B553" s="21"/>
      <c r="C553" s="21"/>
    </row>
    <row r="554" spans="1:3" ht="13">
      <c r="A554" s="21"/>
      <c r="B554" s="21"/>
      <c r="C554" s="21"/>
    </row>
    <row r="555" spans="1:3" ht="13">
      <c r="A555" s="21"/>
      <c r="B555" s="21"/>
      <c r="C555" s="21"/>
    </row>
    <row r="556" spans="1:3" ht="13">
      <c r="A556" s="21"/>
      <c r="B556" s="21"/>
      <c r="C556" s="21"/>
    </row>
    <row r="557" spans="1:3" ht="13">
      <c r="A557" s="21"/>
      <c r="B557" s="21"/>
      <c r="C557" s="21"/>
    </row>
    <row r="558" spans="1:3" ht="13">
      <c r="A558" s="21"/>
      <c r="B558" s="21"/>
      <c r="C558" s="21"/>
    </row>
    <row r="559" spans="1:3" ht="13">
      <c r="A559" s="21"/>
      <c r="B559" s="21"/>
      <c r="C559" s="21"/>
    </row>
    <row r="560" spans="1:3" ht="13">
      <c r="A560" s="21"/>
      <c r="B560" s="21"/>
      <c r="C560" s="21"/>
    </row>
    <row r="561" spans="1:3" ht="13">
      <c r="A561" s="21"/>
      <c r="B561" s="21"/>
      <c r="C561" s="21"/>
    </row>
    <row r="562" spans="1:3" ht="13">
      <c r="A562" s="21"/>
      <c r="B562" s="21"/>
      <c r="C562" s="21"/>
    </row>
    <row r="563" spans="1:3" ht="13">
      <c r="A563" s="21"/>
      <c r="B563" s="21"/>
      <c r="C563" s="21"/>
    </row>
    <row r="564" spans="1:3" ht="13">
      <c r="A564" s="21"/>
      <c r="B564" s="21"/>
      <c r="C564" s="21"/>
    </row>
    <row r="565" spans="1:3" ht="13">
      <c r="A565" s="21"/>
      <c r="B565" s="21"/>
      <c r="C565" s="21"/>
    </row>
    <row r="566" spans="1:3" ht="13">
      <c r="A566" s="21"/>
      <c r="B566" s="21"/>
      <c r="C566" s="21"/>
    </row>
    <row r="567" spans="1:3" ht="13">
      <c r="A567" s="21"/>
      <c r="B567" s="21"/>
      <c r="C567" s="21"/>
    </row>
    <row r="568" spans="1:3" ht="13">
      <c r="A568" s="21"/>
      <c r="B568" s="21"/>
      <c r="C568" s="21"/>
    </row>
    <row r="569" spans="1:3" ht="13">
      <c r="A569" s="21"/>
      <c r="B569" s="21"/>
      <c r="C569" s="21"/>
    </row>
    <row r="570" spans="1:3" ht="13">
      <c r="A570" s="21"/>
      <c r="B570" s="21"/>
      <c r="C570" s="21"/>
    </row>
    <row r="571" spans="1:3" ht="13">
      <c r="A571" s="21"/>
      <c r="B571" s="21"/>
      <c r="C571" s="21"/>
    </row>
    <row r="572" spans="1:3" ht="13">
      <c r="A572" s="21"/>
      <c r="B572" s="21"/>
      <c r="C572" s="21"/>
    </row>
    <row r="573" spans="1:3" ht="13">
      <c r="A573" s="21"/>
      <c r="B573" s="21"/>
      <c r="C573" s="21"/>
    </row>
    <row r="574" spans="1:3" ht="13">
      <c r="A574" s="21"/>
      <c r="B574" s="21"/>
      <c r="C574" s="21"/>
    </row>
    <row r="575" spans="1:3" ht="13">
      <c r="A575" s="21"/>
      <c r="B575" s="21"/>
      <c r="C575" s="21"/>
    </row>
    <row r="576" spans="1:3" ht="13">
      <c r="A576" s="21"/>
      <c r="B576" s="21"/>
      <c r="C576" s="21"/>
    </row>
    <row r="577" spans="1:3" ht="13">
      <c r="A577" s="21"/>
      <c r="B577" s="21"/>
      <c r="C577" s="21"/>
    </row>
    <row r="578" spans="1:3" ht="13">
      <c r="A578" s="21"/>
      <c r="B578" s="21"/>
      <c r="C578" s="21"/>
    </row>
    <row r="579" spans="1:3" ht="13">
      <c r="A579" s="21"/>
      <c r="B579" s="21"/>
      <c r="C579" s="21"/>
    </row>
    <row r="580" spans="1:3" ht="13">
      <c r="A580" s="21"/>
      <c r="B580" s="21"/>
      <c r="C580" s="21"/>
    </row>
    <row r="581" spans="1:3" ht="13">
      <c r="A581" s="21"/>
      <c r="B581" s="21"/>
      <c r="C581" s="21"/>
    </row>
    <row r="582" spans="1:3" ht="13">
      <c r="A582" s="21"/>
      <c r="B582" s="21"/>
      <c r="C582" s="21"/>
    </row>
    <row r="583" spans="1:3" ht="13">
      <c r="A583" s="21"/>
      <c r="B583" s="21"/>
      <c r="C583" s="21"/>
    </row>
    <row r="584" spans="1:3" ht="13">
      <c r="A584" s="21"/>
      <c r="B584" s="21"/>
      <c r="C584" s="21"/>
    </row>
    <row r="585" spans="1:3" ht="13">
      <c r="A585" s="21"/>
      <c r="B585" s="21"/>
      <c r="C585" s="21"/>
    </row>
    <row r="586" spans="1:3" ht="13">
      <c r="A586" s="21"/>
      <c r="B586" s="21"/>
      <c r="C586" s="21"/>
    </row>
    <row r="587" spans="1:3" ht="13">
      <c r="A587" s="21"/>
      <c r="B587" s="21"/>
      <c r="C587" s="21"/>
    </row>
    <row r="588" spans="1:3" ht="13">
      <c r="A588" s="21"/>
      <c r="B588" s="21"/>
      <c r="C588" s="21"/>
    </row>
    <row r="589" spans="1:3" ht="13">
      <c r="A589" s="21"/>
      <c r="B589" s="21"/>
      <c r="C589" s="21"/>
    </row>
    <row r="590" spans="1:3" ht="13">
      <c r="A590" s="21"/>
      <c r="B590" s="21"/>
      <c r="C590" s="21"/>
    </row>
    <row r="591" spans="1:3" ht="13">
      <c r="A591" s="21"/>
      <c r="B591" s="21"/>
      <c r="C591" s="21"/>
    </row>
    <row r="592" spans="1:3" ht="13">
      <c r="A592" s="21"/>
      <c r="B592" s="21"/>
      <c r="C592" s="21"/>
    </row>
    <row r="593" spans="1:3" ht="13">
      <c r="A593" s="21"/>
      <c r="B593" s="21"/>
      <c r="C593" s="21"/>
    </row>
    <row r="594" spans="1:3" ht="13">
      <c r="A594" s="21"/>
      <c r="B594" s="21"/>
      <c r="C594" s="21"/>
    </row>
    <row r="595" spans="1:3" ht="13">
      <c r="A595" s="21"/>
      <c r="B595" s="21"/>
      <c r="C595" s="21"/>
    </row>
    <row r="596" spans="1:3" ht="13">
      <c r="A596" s="21"/>
      <c r="B596" s="21"/>
      <c r="C596" s="21"/>
    </row>
    <row r="597" spans="1:3" ht="13">
      <c r="A597" s="21"/>
      <c r="B597" s="21"/>
      <c r="C597" s="21"/>
    </row>
    <row r="598" spans="1:3" ht="13">
      <c r="A598" s="21"/>
      <c r="B598" s="21"/>
      <c r="C598" s="21"/>
    </row>
    <row r="599" spans="1:3" ht="13">
      <c r="A599" s="21"/>
      <c r="B599" s="21"/>
      <c r="C599" s="21"/>
    </row>
    <row r="600" spans="1:3" ht="13">
      <c r="A600" s="21"/>
      <c r="B600" s="21"/>
      <c r="C600" s="21"/>
    </row>
    <row r="601" spans="1:3" ht="13">
      <c r="A601" s="21"/>
      <c r="B601" s="21"/>
      <c r="C601" s="21"/>
    </row>
    <row r="602" spans="1:3" ht="13">
      <c r="A602" s="21"/>
      <c r="B602" s="21"/>
      <c r="C602" s="21"/>
    </row>
    <row r="603" spans="1:3" ht="13">
      <c r="A603" s="21"/>
      <c r="B603" s="21"/>
      <c r="C603" s="21"/>
    </row>
    <row r="604" spans="1:3" ht="13">
      <c r="A604" s="21"/>
      <c r="B604" s="21"/>
      <c r="C604" s="21"/>
    </row>
    <row r="605" spans="1:3" ht="13">
      <c r="A605" s="21"/>
      <c r="B605" s="21"/>
      <c r="C605" s="21"/>
    </row>
    <row r="606" spans="1:3" ht="13">
      <c r="A606" s="21"/>
      <c r="B606" s="21"/>
      <c r="C606" s="21"/>
    </row>
    <row r="607" spans="1:3" ht="13">
      <c r="A607" s="21"/>
      <c r="B607" s="21"/>
      <c r="C607" s="21"/>
    </row>
    <row r="608" spans="1:3" ht="13">
      <c r="A608" s="21"/>
      <c r="B608" s="21"/>
      <c r="C608" s="21"/>
    </row>
    <row r="609" spans="1:3" ht="13">
      <c r="A609" s="21"/>
      <c r="B609" s="21"/>
      <c r="C609" s="21"/>
    </row>
    <row r="610" spans="1:3" ht="13">
      <c r="A610" s="21"/>
      <c r="B610" s="21"/>
      <c r="C610" s="21"/>
    </row>
    <row r="611" spans="1:3" ht="13">
      <c r="A611" s="21"/>
      <c r="B611" s="21"/>
      <c r="C611" s="21"/>
    </row>
    <row r="612" spans="1:3" ht="13">
      <c r="A612" s="21"/>
      <c r="B612" s="21"/>
      <c r="C612" s="21"/>
    </row>
    <row r="613" spans="1:3" ht="13">
      <c r="A613" s="21"/>
      <c r="B613" s="21"/>
      <c r="C613" s="21"/>
    </row>
    <row r="614" spans="1:3" ht="13">
      <c r="A614" s="21"/>
      <c r="B614" s="21"/>
      <c r="C614" s="21"/>
    </row>
    <row r="615" spans="1:3" ht="13">
      <c r="A615" s="21"/>
      <c r="B615" s="21"/>
      <c r="C615" s="21"/>
    </row>
    <row r="616" spans="1:3" ht="13">
      <c r="A616" s="21"/>
      <c r="B616" s="21"/>
      <c r="C616" s="21"/>
    </row>
    <row r="617" spans="1:3" ht="13">
      <c r="A617" s="21"/>
      <c r="B617" s="21"/>
      <c r="C617" s="21"/>
    </row>
    <row r="618" spans="1:3" ht="13">
      <c r="A618" s="21"/>
      <c r="B618" s="21"/>
      <c r="C618" s="21"/>
    </row>
    <row r="619" spans="1:3" ht="13">
      <c r="A619" s="21"/>
      <c r="B619" s="21"/>
      <c r="C619" s="21"/>
    </row>
    <row r="620" spans="1:3" ht="13">
      <c r="A620" s="21"/>
      <c r="B620" s="21"/>
      <c r="C620" s="21"/>
    </row>
    <row r="621" spans="1:3" ht="13">
      <c r="A621" s="21"/>
      <c r="B621" s="21"/>
      <c r="C621" s="21"/>
    </row>
    <row r="622" spans="1:3" ht="13">
      <c r="A622" s="21"/>
      <c r="B622" s="21"/>
      <c r="C622" s="21"/>
    </row>
    <row r="623" spans="1:3" ht="13">
      <c r="A623" s="21"/>
      <c r="B623" s="21"/>
      <c r="C623" s="21"/>
    </row>
    <row r="624" spans="1:3" ht="13">
      <c r="A624" s="21"/>
      <c r="B624" s="21"/>
      <c r="C624" s="21"/>
    </row>
    <row r="625" spans="1:3" ht="13">
      <c r="A625" s="21"/>
      <c r="B625" s="21"/>
      <c r="C625" s="21"/>
    </row>
    <row r="626" spans="1:3" ht="13">
      <c r="A626" s="21"/>
      <c r="B626" s="21"/>
      <c r="C626" s="21"/>
    </row>
    <row r="627" spans="1:3" ht="13">
      <c r="A627" s="21"/>
      <c r="B627" s="21"/>
      <c r="C627" s="21"/>
    </row>
    <row r="628" spans="1:3" ht="13">
      <c r="A628" s="21"/>
      <c r="B628" s="21"/>
      <c r="C628" s="21"/>
    </row>
    <row r="629" spans="1:3" ht="13">
      <c r="A629" s="21"/>
      <c r="B629" s="21"/>
      <c r="C629" s="21"/>
    </row>
    <row r="630" spans="1:3" ht="13">
      <c r="A630" s="21"/>
      <c r="B630" s="21"/>
      <c r="C630" s="21"/>
    </row>
    <row r="631" spans="1:3" ht="13">
      <c r="A631" s="21"/>
      <c r="B631" s="21"/>
      <c r="C631" s="21"/>
    </row>
    <row r="632" spans="1:3" ht="13">
      <c r="A632" s="21"/>
      <c r="B632" s="21"/>
      <c r="C632" s="21"/>
    </row>
    <row r="633" spans="1:3" ht="13">
      <c r="A633" s="21"/>
      <c r="B633" s="21"/>
      <c r="C633" s="21"/>
    </row>
    <row r="634" spans="1:3" ht="13">
      <c r="A634" s="21"/>
      <c r="B634" s="21"/>
      <c r="C634" s="21"/>
    </row>
    <row r="635" spans="1:3" ht="13">
      <c r="A635" s="21"/>
      <c r="B635" s="21"/>
      <c r="C635" s="21"/>
    </row>
    <row r="636" spans="1:3" ht="13">
      <c r="A636" s="21"/>
      <c r="B636" s="21"/>
      <c r="C636" s="21"/>
    </row>
    <row r="637" spans="1:3" ht="13">
      <c r="A637" s="21"/>
      <c r="B637" s="21"/>
      <c r="C637" s="21"/>
    </row>
    <row r="638" spans="1:3" ht="13">
      <c r="A638" s="21"/>
      <c r="B638" s="21"/>
      <c r="C638" s="21"/>
    </row>
    <row r="639" spans="1:3" ht="13">
      <c r="A639" s="21"/>
      <c r="B639" s="21"/>
      <c r="C639" s="21"/>
    </row>
    <row r="640" spans="1:3" ht="13">
      <c r="A640" s="21"/>
      <c r="B640" s="21"/>
      <c r="C640" s="21"/>
    </row>
    <row r="641" spans="1:3" ht="13">
      <c r="A641" s="21"/>
      <c r="B641" s="21"/>
      <c r="C641" s="21"/>
    </row>
    <row r="642" spans="1:3" ht="13">
      <c r="A642" s="21"/>
      <c r="B642" s="21"/>
      <c r="C642" s="21"/>
    </row>
    <row r="643" spans="1:3" ht="13">
      <c r="A643" s="21"/>
      <c r="B643" s="21"/>
      <c r="C643" s="21"/>
    </row>
    <row r="644" spans="1:3" ht="13">
      <c r="A644" s="21"/>
      <c r="B644" s="21"/>
      <c r="C644" s="21"/>
    </row>
    <row r="645" spans="1:3" ht="13">
      <c r="A645" s="21"/>
      <c r="B645" s="21"/>
      <c r="C645" s="21"/>
    </row>
    <row r="646" spans="1:3" ht="13">
      <c r="A646" s="21"/>
      <c r="B646" s="21"/>
      <c r="C646" s="21"/>
    </row>
    <row r="647" spans="1:3" ht="13">
      <c r="A647" s="21"/>
      <c r="B647" s="21"/>
      <c r="C647" s="21"/>
    </row>
    <row r="648" spans="1:3" ht="13">
      <c r="A648" s="21"/>
      <c r="B648" s="21"/>
      <c r="C648" s="21"/>
    </row>
    <row r="649" spans="1:3" ht="13">
      <c r="A649" s="21"/>
      <c r="B649" s="21"/>
      <c r="C649" s="21"/>
    </row>
    <row r="650" spans="1:3" ht="13">
      <c r="A650" s="21"/>
      <c r="B650" s="21"/>
      <c r="C650" s="21"/>
    </row>
    <row r="651" spans="1:3" ht="13">
      <c r="A651" s="21"/>
      <c r="B651" s="21"/>
      <c r="C651" s="21"/>
    </row>
    <row r="652" spans="1:3" ht="13">
      <c r="A652" s="21"/>
      <c r="B652" s="21"/>
      <c r="C652" s="21"/>
    </row>
    <row r="653" spans="1:3" ht="13">
      <c r="A653" s="21"/>
      <c r="B653" s="21"/>
      <c r="C653" s="21"/>
    </row>
    <row r="654" spans="1:3" ht="13">
      <c r="A654" s="21"/>
      <c r="B654" s="21"/>
      <c r="C654" s="21"/>
    </row>
    <row r="655" spans="1:3" ht="13">
      <c r="A655" s="21"/>
      <c r="B655" s="21"/>
      <c r="C655" s="21"/>
    </row>
    <row r="656" spans="1:3" ht="13">
      <c r="A656" s="21"/>
      <c r="B656" s="21"/>
      <c r="C656" s="21"/>
    </row>
    <row r="657" spans="1:3" ht="13">
      <c r="A657" s="21"/>
      <c r="B657" s="21"/>
      <c r="C657" s="21"/>
    </row>
    <row r="658" spans="1:3" ht="13">
      <c r="A658" s="21"/>
      <c r="B658" s="21"/>
      <c r="C658" s="21"/>
    </row>
    <row r="659" spans="1:3" ht="13">
      <c r="A659" s="21"/>
      <c r="B659" s="21"/>
      <c r="C659" s="21"/>
    </row>
    <row r="660" spans="1:3" ht="13">
      <c r="A660" s="21"/>
      <c r="B660" s="21"/>
      <c r="C660" s="21"/>
    </row>
    <row r="661" spans="1:3" ht="13">
      <c r="A661" s="21"/>
      <c r="B661" s="21"/>
      <c r="C661" s="21"/>
    </row>
    <row r="662" spans="1:3" ht="13">
      <c r="A662" s="21"/>
      <c r="B662" s="21"/>
      <c r="C662" s="21"/>
    </row>
    <row r="663" spans="1:3" ht="13">
      <c r="A663" s="21"/>
      <c r="B663" s="21"/>
      <c r="C663" s="21"/>
    </row>
    <row r="664" spans="1:3" ht="13">
      <c r="A664" s="21"/>
      <c r="B664" s="21"/>
      <c r="C664" s="21"/>
    </row>
    <row r="665" spans="1:3" ht="13">
      <c r="A665" s="21"/>
      <c r="B665" s="21"/>
      <c r="C665" s="21"/>
    </row>
    <row r="666" spans="1:3" ht="13">
      <c r="A666" s="21"/>
      <c r="B666" s="21"/>
      <c r="C666" s="21"/>
    </row>
    <row r="667" spans="1:3" ht="13">
      <c r="A667" s="21"/>
      <c r="B667" s="21"/>
      <c r="C667" s="21"/>
    </row>
    <row r="668" spans="1:3" ht="13">
      <c r="A668" s="21"/>
      <c r="B668" s="21"/>
      <c r="C668" s="21"/>
    </row>
    <row r="669" spans="1:3" ht="13">
      <c r="A669" s="21"/>
      <c r="B669" s="21"/>
      <c r="C669" s="21"/>
    </row>
    <row r="670" spans="1:3" ht="13">
      <c r="A670" s="21"/>
      <c r="B670" s="21"/>
      <c r="C670" s="21"/>
    </row>
    <row r="671" spans="1:3" ht="13">
      <c r="A671" s="21"/>
      <c r="B671" s="21"/>
      <c r="C671" s="21"/>
    </row>
    <row r="672" spans="1:3" ht="13">
      <c r="A672" s="21"/>
      <c r="B672" s="21"/>
      <c r="C672" s="21"/>
    </row>
    <row r="673" spans="1:3" ht="13">
      <c r="A673" s="21"/>
      <c r="B673" s="21"/>
      <c r="C673" s="21"/>
    </row>
    <row r="674" spans="1:3" ht="13">
      <c r="A674" s="21"/>
      <c r="B674" s="21"/>
      <c r="C674" s="21"/>
    </row>
    <row r="675" spans="1:3" ht="13">
      <c r="A675" s="21"/>
      <c r="B675" s="21"/>
      <c r="C675" s="21"/>
    </row>
    <row r="676" spans="1:3" ht="13">
      <c r="A676" s="21"/>
      <c r="B676" s="21"/>
      <c r="C676" s="21"/>
    </row>
    <row r="677" spans="1:3" ht="13">
      <c r="A677" s="21"/>
      <c r="B677" s="21"/>
      <c r="C677" s="21"/>
    </row>
    <row r="678" spans="1:3" ht="13">
      <c r="A678" s="21"/>
      <c r="B678" s="21"/>
      <c r="C678" s="21"/>
    </row>
    <row r="679" spans="1:3" ht="13">
      <c r="A679" s="21"/>
      <c r="B679" s="21"/>
      <c r="C679" s="21"/>
    </row>
    <row r="680" spans="1:3" ht="13">
      <c r="A680" s="21"/>
      <c r="B680" s="21"/>
      <c r="C680" s="21"/>
    </row>
    <row r="681" spans="1:3" ht="13">
      <c r="A681" s="21"/>
      <c r="B681" s="21"/>
      <c r="C681" s="21"/>
    </row>
    <row r="682" spans="1:3" ht="13">
      <c r="A682" s="21"/>
      <c r="B682" s="21"/>
      <c r="C682" s="21"/>
    </row>
    <row r="683" spans="1:3" ht="13">
      <c r="A683" s="21"/>
      <c r="B683" s="21"/>
      <c r="C683" s="21"/>
    </row>
    <row r="684" spans="1:3" ht="13">
      <c r="A684" s="21"/>
      <c r="B684" s="21"/>
      <c r="C684" s="21"/>
    </row>
    <row r="685" spans="1:3" ht="13">
      <c r="A685" s="21"/>
      <c r="B685" s="21"/>
      <c r="C685" s="21"/>
    </row>
    <row r="686" spans="1:3" ht="13">
      <c r="A686" s="21"/>
      <c r="B686" s="21"/>
      <c r="C686" s="21"/>
    </row>
    <row r="687" spans="1:3" ht="13">
      <c r="A687" s="21"/>
      <c r="B687" s="21"/>
      <c r="C687" s="21"/>
    </row>
    <row r="688" spans="1:3" ht="13">
      <c r="A688" s="21"/>
      <c r="B688" s="21"/>
      <c r="C688" s="21"/>
    </row>
    <row r="689" spans="1:3" ht="13">
      <c r="A689" s="21"/>
      <c r="B689" s="21"/>
      <c r="C689" s="21"/>
    </row>
    <row r="690" spans="1:3" ht="13">
      <c r="A690" s="21"/>
      <c r="B690" s="21"/>
      <c r="C690" s="21"/>
    </row>
    <row r="691" spans="1:3" ht="13">
      <c r="A691" s="21"/>
      <c r="B691" s="21"/>
      <c r="C691" s="21"/>
    </row>
    <row r="692" spans="1:3" ht="13">
      <c r="A692" s="21"/>
      <c r="B692" s="21"/>
      <c r="C692" s="21"/>
    </row>
    <row r="693" spans="1:3" ht="13">
      <c r="A693" s="21"/>
      <c r="B693" s="21"/>
      <c r="C693" s="21"/>
    </row>
    <row r="694" spans="1:3" ht="13">
      <c r="A694" s="21"/>
      <c r="B694" s="21"/>
      <c r="C694" s="21"/>
    </row>
    <row r="695" spans="1:3" ht="13">
      <c r="A695" s="21"/>
      <c r="B695" s="21"/>
      <c r="C695" s="21"/>
    </row>
    <row r="696" spans="1:3" ht="13">
      <c r="A696" s="21"/>
      <c r="B696" s="21"/>
      <c r="C696" s="21"/>
    </row>
    <row r="697" spans="1:3" ht="13">
      <c r="A697" s="21"/>
      <c r="B697" s="21"/>
      <c r="C697" s="21"/>
    </row>
    <row r="698" spans="1:3" ht="13">
      <c r="A698" s="21"/>
      <c r="B698" s="21"/>
      <c r="C698" s="21"/>
    </row>
    <row r="699" spans="1:3" ht="13">
      <c r="A699" s="21"/>
      <c r="B699" s="21"/>
      <c r="C699" s="21"/>
    </row>
    <row r="700" spans="1:3" ht="13">
      <c r="A700" s="21"/>
      <c r="B700" s="21"/>
      <c r="C700" s="21"/>
    </row>
    <row r="701" spans="1:3" ht="13">
      <c r="A701" s="21"/>
      <c r="B701" s="21"/>
      <c r="C701" s="21"/>
    </row>
    <row r="702" spans="1:3" ht="13">
      <c r="A702" s="21"/>
      <c r="B702" s="21"/>
      <c r="C702" s="21"/>
    </row>
    <row r="703" spans="1:3" ht="13">
      <c r="A703" s="21"/>
      <c r="B703" s="21"/>
      <c r="C703" s="21"/>
    </row>
    <row r="704" spans="1:3" ht="13">
      <c r="A704" s="21"/>
      <c r="B704" s="21"/>
      <c r="C704" s="21"/>
    </row>
    <row r="705" spans="1:3" ht="13">
      <c r="A705" s="21"/>
      <c r="B705" s="21"/>
      <c r="C705" s="21"/>
    </row>
    <row r="706" spans="1:3" ht="13">
      <c r="A706" s="21"/>
      <c r="B706" s="21"/>
      <c r="C706" s="21"/>
    </row>
    <row r="707" spans="1:3" ht="13">
      <c r="A707" s="21"/>
      <c r="B707" s="21"/>
      <c r="C707" s="21"/>
    </row>
    <row r="708" spans="1:3" ht="13">
      <c r="A708" s="21"/>
      <c r="B708" s="21"/>
      <c r="C708" s="21"/>
    </row>
    <row r="709" spans="1:3" ht="13">
      <c r="A709" s="21"/>
      <c r="B709" s="21"/>
      <c r="C709" s="21"/>
    </row>
    <row r="710" spans="1:3" ht="13">
      <c r="A710" s="21"/>
      <c r="B710" s="21"/>
      <c r="C710" s="21"/>
    </row>
    <row r="711" spans="1:3" ht="13">
      <c r="A711" s="21"/>
      <c r="B711" s="21"/>
      <c r="C711" s="21"/>
    </row>
    <row r="712" spans="1:3" ht="13">
      <c r="A712" s="21"/>
      <c r="B712" s="21"/>
      <c r="C712" s="21"/>
    </row>
    <row r="713" spans="1:3" ht="13">
      <c r="A713" s="21"/>
      <c r="B713" s="21"/>
      <c r="C713" s="21"/>
    </row>
    <row r="714" spans="1:3" ht="13">
      <c r="A714" s="21"/>
      <c r="B714" s="21"/>
      <c r="C714" s="21"/>
    </row>
    <row r="715" spans="1:3" ht="13">
      <c r="A715" s="21"/>
      <c r="B715" s="21"/>
      <c r="C715" s="21"/>
    </row>
    <row r="716" spans="1:3" ht="13">
      <c r="A716" s="21"/>
      <c r="B716" s="21"/>
      <c r="C716" s="21"/>
    </row>
    <row r="717" spans="1:3" ht="13">
      <c r="A717" s="21"/>
      <c r="B717" s="21"/>
      <c r="C717" s="21"/>
    </row>
    <row r="718" spans="1:3" ht="13">
      <c r="A718" s="21"/>
      <c r="B718" s="21"/>
      <c r="C718" s="21"/>
    </row>
    <row r="719" spans="1:3" ht="13">
      <c r="A719" s="21"/>
      <c r="B719" s="21"/>
      <c r="C719" s="21"/>
    </row>
    <row r="720" spans="1:3" ht="13">
      <c r="A720" s="21"/>
      <c r="B720" s="21"/>
      <c r="C720" s="21"/>
    </row>
    <row r="721" spans="1:3" ht="13">
      <c r="A721" s="21"/>
      <c r="B721" s="21"/>
      <c r="C721" s="21"/>
    </row>
    <row r="722" spans="1:3" ht="13">
      <c r="A722" s="21"/>
      <c r="B722" s="21"/>
      <c r="C722" s="21"/>
    </row>
    <row r="723" spans="1:3" ht="13">
      <c r="A723" s="21"/>
      <c r="B723" s="21"/>
      <c r="C723" s="21"/>
    </row>
    <row r="724" spans="1:3" ht="13">
      <c r="A724" s="21"/>
      <c r="B724" s="21"/>
      <c r="C724" s="21"/>
    </row>
    <row r="725" spans="1:3" ht="13">
      <c r="A725" s="21"/>
      <c r="B725" s="21"/>
      <c r="C725" s="21"/>
    </row>
    <row r="726" spans="1:3" ht="13">
      <c r="A726" s="21"/>
      <c r="B726" s="21"/>
      <c r="C726" s="21"/>
    </row>
    <row r="727" spans="1:3" ht="13">
      <c r="A727" s="21"/>
      <c r="B727" s="21"/>
      <c r="C727" s="21"/>
    </row>
    <row r="728" spans="1:3" ht="13">
      <c r="A728" s="21"/>
      <c r="B728" s="21"/>
      <c r="C728" s="21"/>
    </row>
    <row r="729" spans="1:3" ht="13">
      <c r="A729" s="21"/>
      <c r="B729" s="21"/>
      <c r="C729" s="21"/>
    </row>
    <row r="730" spans="1:3" ht="13">
      <c r="A730" s="21"/>
      <c r="B730" s="21"/>
      <c r="C730" s="21"/>
    </row>
    <row r="731" spans="1:3" ht="13">
      <c r="A731" s="21"/>
      <c r="B731" s="21"/>
      <c r="C731" s="21"/>
    </row>
    <row r="732" spans="1:3" ht="13">
      <c r="A732" s="21"/>
      <c r="B732" s="21"/>
      <c r="C732" s="21"/>
    </row>
    <row r="733" spans="1:3" ht="13">
      <c r="A733" s="21"/>
      <c r="B733" s="21"/>
      <c r="C733" s="21"/>
    </row>
    <row r="734" spans="1:3" ht="13">
      <c r="A734" s="21"/>
      <c r="B734" s="21"/>
      <c r="C734" s="21"/>
    </row>
    <row r="735" spans="1:3" ht="13">
      <c r="A735" s="21"/>
      <c r="B735" s="21"/>
      <c r="C735" s="21"/>
    </row>
    <row r="736" spans="1:3" ht="13">
      <c r="A736" s="21"/>
      <c r="B736" s="21"/>
      <c r="C736" s="21"/>
    </row>
    <row r="737" spans="1:3" ht="13">
      <c r="A737" s="21"/>
      <c r="B737" s="21"/>
      <c r="C737" s="21"/>
    </row>
    <row r="738" spans="1:3" ht="13">
      <c r="A738" s="21"/>
      <c r="B738" s="21"/>
      <c r="C738" s="21"/>
    </row>
    <row r="739" spans="1:3" ht="13">
      <c r="A739" s="21"/>
      <c r="B739" s="21"/>
      <c r="C739" s="21"/>
    </row>
    <row r="740" spans="1:3" ht="13">
      <c r="A740" s="21"/>
      <c r="B740" s="21"/>
      <c r="C740" s="21"/>
    </row>
    <row r="741" spans="1:3" ht="13">
      <c r="A741" s="21"/>
      <c r="B741" s="21"/>
      <c r="C741" s="21"/>
    </row>
    <row r="742" spans="1:3" ht="13">
      <c r="A742" s="21"/>
      <c r="B742" s="21"/>
      <c r="C742" s="21"/>
    </row>
    <row r="743" spans="1:3" ht="13">
      <c r="A743" s="21"/>
      <c r="B743" s="21"/>
      <c r="C743" s="21"/>
    </row>
    <row r="744" spans="1:3" ht="13">
      <c r="A744" s="21"/>
      <c r="B744" s="21"/>
      <c r="C744" s="21"/>
    </row>
    <row r="745" spans="1:3" ht="13">
      <c r="A745" s="21"/>
      <c r="B745" s="21"/>
      <c r="C745" s="21"/>
    </row>
    <row r="746" spans="1:3" ht="13">
      <c r="A746" s="21"/>
      <c r="B746" s="21"/>
      <c r="C746" s="21"/>
    </row>
    <row r="747" spans="1:3" ht="13">
      <c r="A747" s="21"/>
      <c r="B747" s="21"/>
      <c r="C747" s="21"/>
    </row>
    <row r="748" spans="1:3" ht="13">
      <c r="A748" s="21"/>
      <c r="B748" s="21"/>
      <c r="C748" s="21"/>
    </row>
    <row r="749" spans="1:3" ht="13">
      <c r="A749" s="21"/>
      <c r="B749" s="21"/>
      <c r="C749" s="21"/>
    </row>
    <row r="750" spans="1:3" ht="13">
      <c r="A750" s="21"/>
      <c r="B750" s="21"/>
      <c r="C750" s="21"/>
    </row>
    <row r="751" spans="1:3" ht="13">
      <c r="A751" s="21"/>
      <c r="B751" s="21"/>
      <c r="C751" s="21"/>
    </row>
    <row r="752" spans="1:3" ht="13">
      <c r="A752" s="21"/>
      <c r="B752" s="21"/>
      <c r="C752" s="21"/>
    </row>
    <row r="753" spans="1:3" ht="13">
      <c r="A753" s="21"/>
      <c r="B753" s="21"/>
      <c r="C753" s="21"/>
    </row>
    <row r="754" spans="1:3" ht="13">
      <c r="A754" s="21"/>
      <c r="B754" s="21"/>
      <c r="C754" s="21"/>
    </row>
    <row r="755" spans="1:3" ht="13">
      <c r="A755" s="21"/>
      <c r="B755" s="21"/>
      <c r="C755" s="21"/>
    </row>
    <row r="756" spans="1:3" ht="13">
      <c r="A756" s="21"/>
      <c r="B756" s="21"/>
      <c r="C756" s="21"/>
    </row>
    <row r="757" spans="1:3" ht="13">
      <c r="A757" s="21"/>
      <c r="B757" s="21"/>
      <c r="C757" s="21"/>
    </row>
    <row r="758" spans="1:3" ht="13">
      <c r="A758" s="21"/>
      <c r="B758" s="21"/>
      <c r="C758" s="21"/>
    </row>
    <row r="759" spans="1:3" ht="13">
      <c r="A759" s="21"/>
      <c r="B759" s="21"/>
      <c r="C759" s="21"/>
    </row>
    <row r="760" spans="1:3" ht="13">
      <c r="A760" s="21"/>
      <c r="B760" s="21"/>
      <c r="C760" s="21"/>
    </row>
    <row r="761" spans="1:3" ht="13">
      <c r="A761" s="21"/>
      <c r="B761" s="21"/>
      <c r="C761" s="21"/>
    </row>
    <row r="762" spans="1:3" ht="13">
      <c r="A762" s="21"/>
      <c r="B762" s="21"/>
      <c r="C762" s="21"/>
    </row>
    <row r="763" spans="1:3" ht="13">
      <c r="A763" s="21"/>
      <c r="B763" s="21"/>
      <c r="C763" s="21"/>
    </row>
    <row r="764" spans="1:3" ht="13">
      <c r="A764" s="21"/>
      <c r="B764" s="21"/>
      <c r="C764" s="21"/>
    </row>
    <row r="765" spans="1:3" ht="13">
      <c r="A765" s="21"/>
      <c r="B765" s="21"/>
      <c r="C765" s="21"/>
    </row>
    <row r="766" spans="1:3" ht="13">
      <c r="A766" s="21"/>
      <c r="B766" s="21"/>
      <c r="C766" s="21"/>
    </row>
    <row r="767" spans="1:3" ht="13">
      <c r="A767" s="21"/>
      <c r="B767" s="21"/>
      <c r="C767" s="21"/>
    </row>
    <row r="768" spans="1:3" ht="13">
      <c r="A768" s="21"/>
      <c r="B768" s="21"/>
      <c r="C768" s="21"/>
    </row>
    <row r="769" spans="1:3" ht="13">
      <c r="A769" s="21"/>
      <c r="B769" s="21"/>
      <c r="C769" s="21"/>
    </row>
    <row r="770" spans="1:3" ht="13">
      <c r="A770" s="21"/>
      <c r="B770" s="21"/>
      <c r="C770" s="21"/>
    </row>
    <row r="771" spans="1:3" ht="13">
      <c r="A771" s="21"/>
      <c r="B771" s="21"/>
      <c r="C771" s="21"/>
    </row>
    <row r="772" spans="1:3" ht="13">
      <c r="A772" s="21"/>
      <c r="B772" s="21"/>
      <c r="C772" s="21"/>
    </row>
    <row r="773" spans="1:3" ht="13">
      <c r="A773" s="21"/>
      <c r="B773" s="21"/>
      <c r="C773" s="21"/>
    </row>
    <row r="774" spans="1:3" ht="13">
      <c r="A774" s="21"/>
      <c r="B774" s="21"/>
      <c r="C774" s="21"/>
    </row>
    <row r="775" spans="1:3" ht="13">
      <c r="A775" s="21"/>
      <c r="B775" s="21"/>
      <c r="C775" s="21"/>
    </row>
    <row r="776" spans="1:3" ht="13">
      <c r="A776" s="21"/>
      <c r="B776" s="21"/>
      <c r="C776" s="21"/>
    </row>
    <row r="777" spans="1:3" ht="13">
      <c r="A777" s="21"/>
      <c r="B777" s="21"/>
      <c r="C777" s="21"/>
    </row>
    <row r="778" spans="1:3" ht="13">
      <c r="A778" s="21"/>
      <c r="B778" s="21"/>
      <c r="C778" s="21"/>
    </row>
    <row r="779" spans="1:3" ht="13">
      <c r="A779" s="21"/>
      <c r="B779" s="21"/>
      <c r="C779" s="21"/>
    </row>
    <row r="780" spans="1:3" ht="13">
      <c r="A780" s="21"/>
      <c r="B780" s="21"/>
      <c r="C780" s="21"/>
    </row>
    <row r="781" spans="1:3" ht="13">
      <c r="A781" s="21"/>
      <c r="B781" s="21"/>
      <c r="C781" s="21"/>
    </row>
    <row r="782" spans="1:3" ht="13">
      <c r="A782" s="21"/>
      <c r="B782" s="21"/>
      <c r="C782" s="21"/>
    </row>
    <row r="783" spans="1:3" ht="13">
      <c r="A783" s="21"/>
      <c r="B783" s="21"/>
      <c r="C783" s="21"/>
    </row>
    <row r="784" spans="1:3" ht="13">
      <c r="A784" s="21"/>
      <c r="B784" s="21"/>
      <c r="C784" s="21"/>
    </row>
    <row r="785" spans="1:3" ht="13">
      <c r="A785" s="21"/>
      <c r="B785" s="21"/>
      <c r="C785" s="21"/>
    </row>
    <row r="786" spans="1:3" ht="13">
      <c r="A786" s="21"/>
      <c r="B786" s="21"/>
      <c r="C786" s="21"/>
    </row>
    <row r="787" spans="1:3" ht="13">
      <c r="A787" s="21"/>
      <c r="B787" s="21"/>
      <c r="C787" s="21"/>
    </row>
    <row r="788" spans="1:3" ht="13">
      <c r="A788" s="21"/>
      <c r="B788" s="21"/>
      <c r="C788" s="21"/>
    </row>
    <row r="789" spans="1:3" ht="13">
      <c r="A789" s="21"/>
      <c r="B789" s="21"/>
      <c r="C789" s="21"/>
    </row>
    <row r="790" spans="1:3" ht="13">
      <c r="A790" s="21"/>
      <c r="B790" s="21"/>
      <c r="C790" s="21"/>
    </row>
    <row r="791" spans="1:3" ht="13">
      <c r="A791" s="21"/>
      <c r="B791" s="21"/>
      <c r="C791" s="21"/>
    </row>
    <row r="792" spans="1:3" ht="13">
      <c r="A792" s="21"/>
      <c r="B792" s="21"/>
      <c r="C792" s="21"/>
    </row>
    <row r="793" spans="1:3" ht="13">
      <c r="A793" s="21"/>
      <c r="B793" s="21"/>
      <c r="C793" s="21"/>
    </row>
    <row r="794" spans="1:3" ht="13">
      <c r="A794" s="21"/>
      <c r="B794" s="21"/>
      <c r="C794" s="21"/>
    </row>
    <row r="795" spans="1:3" ht="13">
      <c r="A795" s="21"/>
      <c r="B795" s="21"/>
      <c r="C795" s="21"/>
    </row>
    <row r="796" spans="1:3" ht="13">
      <c r="A796" s="21"/>
      <c r="B796" s="21"/>
      <c r="C796" s="21"/>
    </row>
    <row r="797" spans="1:3" ht="13">
      <c r="A797" s="21"/>
      <c r="B797" s="21"/>
      <c r="C797" s="21"/>
    </row>
    <row r="798" spans="1:3" ht="13">
      <c r="A798" s="21"/>
      <c r="B798" s="21"/>
      <c r="C798" s="21"/>
    </row>
    <row r="799" spans="1:3" ht="13">
      <c r="A799" s="21"/>
      <c r="B799" s="21"/>
      <c r="C799" s="21"/>
    </row>
    <row r="800" spans="1:3" ht="13">
      <c r="A800" s="21"/>
      <c r="B800" s="21"/>
      <c r="C800" s="21"/>
    </row>
    <row r="801" spans="1:3" ht="13">
      <c r="A801" s="21"/>
      <c r="B801" s="21"/>
      <c r="C801" s="21"/>
    </row>
    <row r="802" spans="1:3" ht="13">
      <c r="A802" s="21"/>
      <c r="B802" s="21"/>
      <c r="C802" s="21"/>
    </row>
    <row r="803" spans="1:3" ht="13">
      <c r="A803" s="21"/>
      <c r="B803" s="21"/>
      <c r="C803" s="21"/>
    </row>
    <row r="804" spans="1:3" ht="13">
      <c r="A804" s="21"/>
      <c r="B804" s="21"/>
      <c r="C804" s="21"/>
    </row>
    <row r="805" spans="1:3" ht="13">
      <c r="A805" s="21"/>
      <c r="B805" s="21"/>
      <c r="C805" s="21"/>
    </row>
    <row r="806" spans="1:3" ht="13">
      <c r="A806" s="21"/>
      <c r="B806" s="21"/>
      <c r="C806" s="21"/>
    </row>
    <row r="807" spans="1:3" ht="13">
      <c r="A807" s="21"/>
      <c r="B807" s="21"/>
      <c r="C807" s="21"/>
    </row>
    <row r="808" spans="1:3" ht="13">
      <c r="A808" s="21"/>
      <c r="B808" s="21"/>
      <c r="C808" s="21"/>
    </row>
    <row r="809" spans="1:3" ht="13">
      <c r="A809" s="21"/>
      <c r="B809" s="21"/>
      <c r="C809" s="21"/>
    </row>
    <row r="810" spans="1:3" ht="13">
      <c r="A810" s="21"/>
      <c r="B810" s="21"/>
      <c r="C810" s="21"/>
    </row>
    <row r="811" spans="1:3" ht="13">
      <c r="A811" s="21"/>
      <c r="B811" s="21"/>
      <c r="C811" s="21"/>
    </row>
    <row r="812" spans="1:3" ht="13">
      <c r="A812" s="21"/>
      <c r="B812" s="21"/>
      <c r="C812" s="21"/>
    </row>
    <row r="813" spans="1:3" ht="13">
      <c r="A813" s="21"/>
      <c r="B813" s="21"/>
      <c r="C813" s="21"/>
    </row>
    <row r="814" spans="1:3" ht="13">
      <c r="A814" s="21"/>
      <c r="B814" s="21"/>
      <c r="C814" s="21"/>
    </row>
    <row r="815" spans="1:3" ht="13">
      <c r="A815" s="21"/>
      <c r="B815" s="21"/>
      <c r="C815" s="21"/>
    </row>
    <row r="816" spans="1:3" ht="13">
      <c r="A816" s="21"/>
      <c r="B816" s="21"/>
      <c r="C816" s="21"/>
    </row>
    <row r="817" spans="1:3" ht="13">
      <c r="A817" s="21"/>
      <c r="B817" s="21"/>
      <c r="C817" s="21"/>
    </row>
    <row r="818" spans="1:3" ht="13">
      <c r="A818" s="21"/>
      <c r="B818" s="21"/>
      <c r="C818" s="21"/>
    </row>
    <row r="819" spans="1:3" ht="13">
      <c r="A819" s="21"/>
      <c r="B819" s="21"/>
      <c r="C819" s="21"/>
    </row>
    <row r="820" spans="1:3" ht="13">
      <c r="A820" s="21"/>
      <c r="B820" s="21"/>
      <c r="C820" s="21"/>
    </row>
    <row r="821" spans="1:3" ht="13">
      <c r="A821" s="21"/>
      <c r="B821" s="21"/>
      <c r="C821" s="21"/>
    </row>
    <row r="822" spans="1:3" ht="13">
      <c r="A822" s="21"/>
      <c r="B822" s="21"/>
      <c r="C822" s="21"/>
    </row>
    <row r="823" spans="1:3" ht="13">
      <c r="A823" s="21"/>
      <c r="B823" s="21"/>
      <c r="C823" s="21"/>
    </row>
    <row r="824" spans="1:3" ht="13">
      <c r="A824" s="21"/>
      <c r="B824" s="21"/>
      <c r="C824" s="21"/>
    </row>
    <row r="825" spans="1:3" ht="13">
      <c r="A825" s="21"/>
      <c r="B825" s="21"/>
      <c r="C825" s="21"/>
    </row>
    <row r="826" spans="1:3" ht="13">
      <c r="A826" s="21"/>
      <c r="B826" s="21"/>
      <c r="C826" s="21"/>
    </row>
    <row r="827" spans="1:3" ht="13">
      <c r="A827" s="21"/>
      <c r="B827" s="21"/>
      <c r="C827" s="21"/>
    </row>
    <row r="828" spans="1:3" ht="13">
      <c r="A828" s="21"/>
      <c r="B828" s="21"/>
      <c r="C828" s="21"/>
    </row>
    <row r="829" spans="1:3" ht="13">
      <c r="A829" s="21"/>
      <c r="B829" s="21"/>
      <c r="C829" s="21"/>
    </row>
    <row r="830" spans="1:3" ht="13">
      <c r="A830" s="21"/>
      <c r="B830" s="21"/>
      <c r="C830" s="21"/>
    </row>
    <row r="831" spans="1:3" ht="13">
      <c r="A831" s="21"/>
      <c r="B831" s="21"/>
      <c r="C831" s="21"/>
    </row>
    <row r="832" spans="1:3" ht="13">
      <c r="A832" s="21"/>
      <c r="B832" s="21"/>
      <c r="C832" s="21"/>
    </row>
    <row r="833" spans="1:3" ht="13">
      <c r="A833" s="21"/>
      <c r="B833" s="21"/>
      <c r="C833" s="21"/>
    </row>
    <row r="834" spans="1:3" ht="13">
      <c r="A834" s="21"/>
      <c r="B834" s="21"/>
      <c r="C834" s="21"/>
    </row>
    <row r="835" spans="1:3" ht="13">
      <c r="A835" s="21"/>
      <c r="B835" s="21"/>
      <c r="C835" s="21"/>
    </row>
    <row r="836" spans="1:3" ht="13">
      <c r="A836" s="21"/>
      <c r="B836" s="21"/>
      <c r="C836" s="21"/>
    </row>
    <row r="837" spans="1:3" ht="13">
      <c r="A837" s="21"/>
      <c r="B837" s="21"/>
      <c r="C837" s="21"/>
    </row>
    <row r="838" spans="1:3" ht="13">
      <c r="A838" s="21"/>
      <c r="B838" s="21"/>
      <c r="C838" s="21"/>
    </row>
    <row r="839" spans="1:3" ht="13">
      <c r="A839" s="21"/>
      <c r="B839" s="21"/>
      <c r="C839" s="21"/>
    </row>
    <row r="840" spans="1:3" ht="13">
      <c r="A840" s="21"/>
      <c r="B840" s="21"/>
      <c r="C840" s="21"/>
    </row>
    <row r="841" spans="1:3" ht="13">
      <c r="A841" s="21"/>
      <c r="B841" s="21"/>
      <c r="C841" s="21"/>
    </row>
    <row r="842" spans="1:3" ht="13">
      <c r="A842" s="21"/>
      <c r="B842" s="21"/>
      <c r="C842" s="21"/>
    </row>
    <row r="843" spans="1:3" ht="13">
      <c r="A843" s="21"/>
      <c r="B843" s="21"/>
      <c r="C843" s="21"/>
    </row>
    <row r="844" spans="1:3" ht="13">
      <c r="A844" s="21"/>
      <c r="B844" s="21"/>
      <c r="C844" s="21"/>
    </row>
    <row r="845" spans="1:3" ht="13">
      <c r="A845" s="21"/>
      <c r="B845" s="21"/>
      <c r="C845" s="21"/>
    </row>
    <row r="846" spans="1:3" ht="13">
      <c r="A846" s="21"/>
      <c r="B846" s="21"/>
      <c r="C846" s="21"/>
    </row>
    <row r="847" spans="1:3" ht="13">
      <c r="A847" s="21"/>
      <c r="B847" s="21"/>
      <c r="C847" s="21"/>
    </row>
    <row r="848" spans="1:3" ht="13">
      <c r="A848" s="21"/>
      <c r="B848" s="21"/>
      <c r="C848" s="21"/>
    </row>
    <row r="849" spans="1:3" ht="13">
      <c r="A849" s="21"/>
      <c r="B849" s="21"/>
      <c r="C849" s="21"/>
    </row>
    <row r="850" spans="1:3" ht="13">
      <c r="A850" s="21"/>
      <c r="B850" s="21"/>
      <c r="C850" s="21"/>
    </row>
    <row r="851" spans="1:3" ht="13">
      <c r="A851" s="21"/>
      <c r="B851" s="21"/>
      <c r="C851" s="21"/>
    </row>
    <row r="852" spans="1:3" ht="13">
      <c r="A852" s="21"/>
      <c r="B852" s="21"/>
      <c r="C852" s="21"/>
    </row>
    <row r="853" spans="1:3" ht="13">
      <c r="A853" s="21"/>
      <c r="B853" s="21"/>
      <c r="C853" s="21"/>
    </row>
    <row r="854" spans="1:3" ht="13">
      <c r="A854" s="21"/>
      <c r="B854" s="21"/>
      <c r="C854" s="21"/>
    </row>
    <row r="855" spans="1:3" ht="13">
      <c r="A855" s="21"/>
      <c r="B855" s="21"/>
      <c r="C855" s="21"/>
    </row>
    <row r="856" spans="1:3" ht="13">
      <c r="A856" s="21"/>
      <c r="B856" s="21"/>
      <c r="C856" s="21"/>
    </row>
    <row r="857" spans="1:3" ht="13">
      <c r="A857" s="21"/>
      <c r="B857" s="21"/>
      <c r="C857" s="21"/>
    </row>
    <row r="858" spans="1:3" ht="13">
      <c r="A858" s="21"/>
      <c r="B858" s="21"/>
      <c r="C858" s="21"/>
    </row>
    <row r="859" spans="1:3" ht="13">
      <c r="A859" s="21"/>
      <c r="B859" s="21"/>
      <c r="C859" s="21"/>
    </row>
    <row r="860" spans="1:3" ht="13">
      <c r="A860" s="21"/>
      <c r="B860" s="21"/>
      <c r="C860" s="21"/>
    </row>
    <row r="861" spans="1:3" ht="13">
      <c r="A861" s="21"/>
      <c r="B861" s="21"/>
      <c r="C861" s="21"/>
    </row>
    <row r="862" spans="1:3" ht="13">
      <c r="A862" s="21"/>
      <c r="B862" s="21"/>
      <c r="C862" s="21"/>
    </row>
    <row r="863" spans="1:3" ht="13">
      <c r="A863" s="21"/>
      <c r="B863" s="21"/>
      <c r="C863" s="21"/>
    </row>
    <row r="864" spans="1:3" ht="13">
      <c r="A864" s="21"/>
      <c r="B864" s="21"/>
      <c r="C864" s="21"/>
    </row>
    <row r="865" spans="1:3" ht="13">
      <c r="A865" s="21"/>
      <c r="B865" s="21"/>
      <c r="C865" s="21"/>
    </row>
    <row r="866" spans="1:3" ht="13">
      <c r="A866" s="21"/>
      <c r="B866" s="21"/>
      <c r="C866" s="21"/>
    </row>
    <row r="867" spans="1:3" ht="13">
      <c r="A867" s="21"/>
      <c r="B867" s="21"/>
      <c r="C867" s="21"/>
    </row>
    <row r="868" spans="1:3" ht="13">
      <c r="A868" s="21"/>
      <c r="B868" s="21"/>
      <c r="C868" s="21"/>
    </row>
    <row r="869" spans="1:3" ht="13">
      <c r="A869" s="21"/>
      <c r="B869" s="21"/>
      <c r="C869" s="21"/>
    </row>
    <row r="870" spans="1:3" ht="13">
      <c r="A870" s="21"/>
      <c r="B870" s="21"/>
      <c r="C870" s="21"/>
    </row>
    <row r="871" spans="1:3" ht="13">
      <c r="A871" s="21"/>
      <c r="B871" s="21"/>
      <c r="C871" s="21"/>
    </row>
    <row r="872" spans="1:3" ht="13">
      <c r="A872" s="21"/>
      <c r="B872" s="21"/>
      <c r="C872" s="21"/>
    </row>
    <row r="873" spans="1:3" ht="13">
      <c r="A873" s="21"/>
      <c r="B873" s="21"/>
      <c r="C873" s="21"/>
    </row>
    <row r="874" spans="1:3" ht="13">
      <c r="A874" s="21"/>
      <c r="B874" s="21"/>
      <c r="C874" s="21"/>
    </row>
    <row r="875" spans="1:3" ht="13">
      <c r="A875" s="21"/>
      <c r="B875" s="21"/>
      <c r="C875" s="21"/>
    </row>
    <row r="876" spans="1:3" ht="13">
      <c r="A876" s="21"/>
      <c r="B876" s="21"/>
      <c r="C876" s="21"/>
    </row>
    <row r="877" spans="1:3" ht="13">
      <c r="A877" s="21"/>
      <c r="B877" s="21"/>
      <c r="C877" s="21"/>
    </row>
    <row r="878" spans="1:3" ht="13">
      <c r="A878" s="21"/>
      <c r="B878" s="21"/>
      <c r="C878" s="21"/>
    </row>
    <row r="879" spans="1:3" ht="13">
      <c r="A879" s="21"/>
      <c r="B879" s="21"/>
      <c r="C879" s="21"/>
    </row>
    <row r="880" spans="1:3" ht="13">
      <c r="A880" s="21"/>
      <c r="B880" s="21"/>
      <c r="C880" s="21"/>
    </row>
    <row r="881" spans="1:3" ht="13">
      <c r="A881" s="21"/>
      <c r="B881" s="21"/>
      <c r="C881" s="21"/>
    </row>
    <row r="882" spans="1:3" ht="13">
      <c r="A882" s="21"/>
      <c r="B882" s="21"/>
      <c r="C882" s="21"/>
    </row>
    <row r="883" spans="1:3" ht="13">
      <c r="A883" s="21"/>
      <c r="B883" s="21"/>
      <c r="C883" s="21"/>
    </row>
    <row r="884" spans="1:3" ht="13">
      <c r="A884" s="21"/>
      <c r="B884" s="21"/>
      <c r="C884" s="21"/>
    </row>
    <row r="885" spans="1:3" ht="13">
      <c r="A885" s="21"/>
      <c r="B885" s="21"/>
      <c r="C885" s="21"/>
    </row>
    <row r="886" spans="1:3" ht="13">
      <c r="A886" s="21"/>
      <c r="B886" s="21"/>
      <c r="C886" s="21"/>
    </row>
    <row r="887" spans="1:3" ht="13">
      <c r="A887" s="21"/>
      <c r="B887" s="21"/>
      <c r="C887" s="21"/>
    </row>
    <row r="888" spans="1:3" ht="13">
      <c r="A888" s="21"/>
      <c r="B888" s="21"/>
      <c r="C888" s="21"/>
    </row>
    <row r="889" spans="1:3" ht="13">
      <c r="A889" s="21"/>
      <c r="B889" s="21"/>
      <c r="C889" s="21"/>
    </row>
    <row r="890" spans="1:3" ht="13">
      <c r="A890" s="21"/>
      <c r="B890" s="21"/>
      <c r="C890" s="21"/>
    </row>
    <row r="891" spans="1:3" ht="13">
      <c r="A891" s="21"/>
      <c r="B891" s="21"/>
      <c r="C891" s="21"/>
    </row>
    <row r="892" spans="1:3" ht="13">
      <c r="A892" s="21"/>
      <c r="B892" s="21"/>
      <c r="C892" s="21"/>
    </row>
    <row r="893" spans="1:3" ht="13">
      <c r="A893" s="21"/>
      <c r="B893" s="21"/>
      <c r="C893" s="21"/>
    </row>
    <row r="894" spans="1:3" ht="13">
      <c r="A894" s="21"/>
      <c r="B894" s="21"/>
      <c r="C894" s="21"/>
    </row>
    <row r="895" spans="1:3" ht="13">
      <c r="A895" s="21"/>
      <c r="B895" s="21"/>
      <c r="C895" s="21"/>
    </row>
    <row r="896" spans="1:3" ht="13">
      <c r="A896" s="21"/>
      <c r="B896" s="21"/>
      <c r="C896" s="21"/>
    </row>
    <row r="897" spans="1:3" ht="13">
      <c r="A897" s="21"/>
      <c r="B897" s="21"/>
      <c r="C897" s="21"/>
    </row>
    <row r="898" spans="1:3" ht="13">
      <c r="A898" s="21"/>
      <c r="B898" s="21"/>
      <c r="C898" s="21"/>
    </row>
    <row r="899" spans="1:3" ht="13">
      <c r="A899" s="21"/>
      <c r="B899" s="21"/>
      <c r="C899" s="21"/>
    </row>
    <row r="900" spans="1:3" ht="13">
      <c r="A900" s="21"/>
      <c r="B900" s="21"/>
      <c r="C900" s="21"/>
    </row>
    <row r="901" spans="1:3" ht="13">
      <c r="A901" s="21"/>
      <c r="B901" s="21"/>
      <c r="C901" s="21"/>
    </row>
    <row r="902" spans="1:3" ht="13">
      <c r="A902" s="21"/>
      <c r="B902" s="21"/>
      <c r="C902" s="21"/>
    </row>
    <row r="903" spans="1:3" ht="13">
      <c r="A903" s="21"/>
      <c r="B903" s="21"/>
      <c r="C903" s="21"/>
    </row>
    <row r="904" spans="1:3" ht="13">
      <c r="A904" s="21"/>
      <c r="B904" s="21"/>
      <c r="C904" s="21"/>
    </row>
    <row r="905" spans="1:3" ht="13">
      <c r="A905" s="21"/>
      <c r="B905" s="21"/>
      <c r="C905" s="21"/>
    </row>
    <row r="906" spans="1:3" ht="13">
      <c r="A906" s="21"/>
      <c r="B906" s="21"/>
      <c r="C906" s="21"/>
    </row>
    <row r="907" spans="1:3" ht="13">
      <c r="A907" s="21"/>
      <c r="B907" s="21"/>
      <c r="C907" s="21"/>
    </row>
    <row r="908" spans="1:3" ht="13">
      <c r="A908" s="21"/>
      <c r="B908" s="21"/>
      <c r="C908" s="21"/>
    </row>
    <row r="909" spans="1:3" ht="13">
      <c r="A909" s="21"/>
      <c r="B909" s="21"/>
      <c r="C909" s="21"/>
    </row>
    <row r="910" spans="1:3" ht="13">
      <c r="A910" s="21"/>
      <c r="B910" s="21"/>
      <c r="C910" s="21"/>
    </row>
    <row r="911" spans="1:3" ht="13">
      <c r="A911" s="21"/>
      <c r="B911" s="21"/>
      <c r="C911" s="21"/>
    </row>
    <row r="912" spans="1:3" ht="13">
      <c r="A912" s="21"/>
      <c r="B912" s="21"/>
      <c r="C912" s="21"/>
    </row>
    <row r="913" spans="1:3" ht="13">
      <c r="A913" s="21"/>
      <c r="B913" s="21"/>
      <c r="C913" s="21"/>
    </row>
    <row r="914" spans="1:3" ht="13">
      <c r="A914" s="21"/>
      <c r="B914" s="21"/>
      <c r="C914" s="21"/>
    </row>
    <row r="915" spans="1:3" ht="13">
      <c r="A915" s="21"/>
      <c r="B915" s="21"/>
      <c r="C915" s="21"/>
    </row>
    <row r="916" spans="1:3" ht="13">
      <c r="A916" s="21"/>
      <c r="B916" s="21"/>
      <c r="C916" s="21"/>
    </row>
    <row r="917" spans="1:3" ht="13">
      <c r="A917" s="21"/>
      <c r="B917" s="21"/>
      <c r="C917" s="21"/>
    </row>
    <row r="918" spans="1:3" ht="13">
      <c r="A918" s="21"/>
      <c r="B918" s="21"/>
      <c r="C918" s="21"/>
    </row>
    <row r="919" spans="1:3" ht="13">
      <c r="A919" s="21"/>
      <c r="B919" s="21"/>
      <c r="C919" s="21"/>
    </row>
    <row r="920" spans="1:3" ht="13">
      <c r="A920" s="21"/>
      <c r="B920" s="21"/>
      <c r="C920" s="21"/>
    </row>
    <row r="921" spans="1:3" ht="13">
      <c r="A921" s="21"/>
      <c r="B921" s="21"/>
      <c r="C921" s="21"/>
    </row>
    <row r="922" spans="1:3" ht="13">
      <c r="A922" s="21"/>
      <c r="B922" s="21"/>
      <c r="C922" s="21"/>
    </row>
    <row r="923" spans="1:3" ht="13">
      <c r="A923" s="21"/>
      <c r="B923" s="21"/>
      <c r="C923" s="21"/>
    </row>
    <row r="924" spans="1:3" ht="13">
      <c r="A924" s="21"/>
      <c r="B924" s="21"/>
      <c r="C924" s="21"/>
    </row>
    <row r="925" spans="1:3" ht="13">
      <c r="A925" s="21"/>
      <c r="B925" s="21"/>
      <c r="C925" s="21"/>
    </row>
    <row r="926" spans="1:3" ht="13">
      <c r="A926" s="21"/>
      <c r="B926" s="21"/>
      <c r="C926" s="21"/>
    </row>
    <row r="927" spans="1:3" ht="13">
      <c r="A927" s="21"/>
      <c r="B927" s="21"/>
      <c r="C927" s="21"/>
    </row>
    <row r="928" spans="1:3" ht="13">
      <c r="A928" s="21"/>
      <c r="B928" s="21"/>
      <c r="C928" s="21"/>
    </row>
    <row r="929" spans="1:3" ht="13">
      <c r="A929" s="21"/>
      <c r="B929" s="21"/>
      <c r="C929" s="21"/>
    </row>
    <row r="930" spans="1:3" ht="13">
      <c r="A930" s="21"/>
      <c r="B930" s="21"/>
      <c r="C930" s="21"/>
    </row>
    <row r="931" spans="1:3" ht="13">
      <c r="A931" s="21"/>
      <c r="B931" s="21"/>
      <c r="C931" s="21"/>
    </row>
    <row r="932" spans="1:3" ht="13">
      <c r="A932" s="21"/>
      <c r="B932" s="21"/>
      <c r="C932" s="21"/>
    </row>
    <row r="933" spans="1:3" ht="13">
      <c r="A933" s="21"/>
      <c r="B933" s="21"/>
      <c r="C933" s="21"/>
    </row>
    <row r="934" spans="1:3" ht="13">
      <c r="A934" s="21"/>
      <c r="B934" s="21"/>
      <c r="C934" s="21"/>
    </row>
    <row r="935" spans="1:3" ht="13">
      <c r="A935" s="21"/>
      <c r="B935" s="21"/>
      <c r="C935" s="21"/>
    </row>
    <row r="936" spans="1:3" ht="13">
      <c r="A936" s="21"/>
      <c r="B936" s="21"/>
      <c r="C936" s="21"/>
    </row>
    <row r="937" spans="1:3" ht="13">
      <c r="A937" s="21"/>
      <c r="B937" s="21"/>
      <c r="C937" s="21"/>
    </row>
    <row r="938" spans="1:3" ht="13">
      <c r="A938" s="21"/>
      <c r="B938" s="21"/>
      <c r="C938" s="21"/>
    </row>
    <row r="939" spans="1:3" ht="13">
      <c r="A939" s="21"/>
      <c r="B939" s="21"/>
      <c r="C939" s="21"/>
    </row>
    <row r="940" spans="1:3" ht="13">
      <c r="A940" s="21"/>
      <c r="B940" s="21"/>
      <c r="C940" s="21"/>
    </row>
    <row r="941" spans="1:3" ht="13">
      <c r="A941" s="21"/>
      <c r="B941" s="21"/>
      <c r="C941" s="21"/>
    </row>
    <row r="942" spans="1:3" ht="13">
      <c r="A942" s="21"/>
      <c r="B942" s="21"/>
      <c r="C942" s="21"/>
    </row>
    <row r="943" spans="1:3" ht="13">
      <c r="A943" s="21"/>
      <c r="B943" s="21"/>
      <c r="C943" s="21"/>
    </row>
    <row r="944" spans="1:3" ht="13">
      <c r="A944" s="21"/>
      <c r="B944" s="21"/>
      <c r="C944" s="21"/>
    </row>
    <row r="945" spans="1:3" ht="13">
      <c r="A945" s="21"/>
      <c r="B945" s="21"/>
      <c r="C945" s="21"/>
    </row>
    <row r="946" spans="1:3" ht="13">
      <c r="A946" s="21"/>
      <c r="B946" s="21"/>
      <c r="C946" s="21"/>
    </row>
    <row r="947" spans="1:3" ht="13">
      <c r="A947" s="21"/>
      <c r="B947" s="21"/>
      <c r="C947" s="21"/>
    </row>
    <row r="948" spans="1:3" ht="13">
      <c r="A948" s="21"/>
      <c r="B948" s="21"/>
      <c r="C948" s="21"/>
    </row>
    <row r="949" spans="1:3" ht="13">
      <c r="A949" s="21"/>
      <c r="B949" s="21"/>
      <c r="C949" s="21"/>
    </row>
    <row r="950" spans="1:3" ht="13">
      <c r="A950" s="21"/>
      <c r="B950" s="21"/>
      <c r="C950" s="21"/>
    </row>
    <row r="951" spans="1:3" ht="13">
      <c r="A951" s="21"/>
      <c r="B951" s="21"/>
      <c r="C951" s="21"/>
    </row>
    <row r="952" spans="1:3" ht="13">
      <c r="A952" s="21"/>
      <c r="B952" s="21"/>
      <c r="C952" s="21"/>
    </row>
    <row r="953" spans="1:3" ht="13">
      <c r="A953" s="21"/>
      <c r="B953" s="21"/>
      <c r="C953" s="21"/>
    </row>
    <row r="954" spans="1:3" ht="13">
      <c r="A954" s="21"/>
      <c r="B954" s="21"/>
      <c r="C954" s="21"/>
    </row>
    <row r="955" spans="1:3" ht="13">
      <c r="A955" s="21"/>
      <c r="B955" s="21"/>
      <c r="C955" s="21"/>
    </row>
    <row r="956" spans="1:3" ht="13">
      <c r="A956" s="21"/>
      <c r="B956" s="21"/>
      <c r="C956" s="21"/>
    </row>
    <row r="957" spans="1:3" ht="13">
      <c r="A957" s="21"/>
      <c r="B957" s="21"/>
      <c r="C957" s="21"/>
    </row>
    <row r="958" spans="1:3" ht="13">
      <c r="A958" s="21"/>
      <c r="B958" s="21"/>
      <c r="C958" s="21"/>
    </row>
    <row r="959" spans="1:3" ht="13">
      <c r="A959" s="21"/>
      <c r="B959" s="21"/>
      <c r="C959" s="21"/>
    </row>
    <row r="960" spans="1:3" ht="13">
      <c r="A960" s="21"/>
      <c r="B960" s="21"/>
      <c r="C960" s="21"/>
    </row>
    <row r="961" spans="1:3" ht="13">
      <c r="A961" s="21"/>
      <c r="B961" s="21"/>
      <c r="C961" s="21"/>
    </row>
    <row r="962" spans="1:3" ht="13">
      <c r="A962" s="21"/>
      <c r="B962" s="21"/>
      <c r="C962" s="21"/>
    </row>
    <row r="963" spans="1:3" ht="13">
      <c r="A963" s="21"/>
      <c r="B963" s="21"/>
      <c r="C963" s="21"/>
    </row>
    <row r="964" spans="1:3" ht="13">
      <c r="A964" s="21"/>
      <c r="B964" s="21"/>
      <c r="C964" s="21"/>
    </row>
    <row r="965" spans="1:3" ht="13">
      <c r="A965" s="21"/>
      <c r="B965" s="21"/>
      <c r="C965" s="21"/>
    </row>
    <row r="966" spans="1:3" ht="13">
      <c r="A966" s="21"/>
      <c r="B966" s="21"/>
      <c r="C966" s="21"/>
    </row>
    <row r="967" spans="1:3" ht="13">
      <c r="A967" s="21"/>
      <c r="B967" s="21"/>
      <c r="C967" s="21"/>
    </row>
    <row r="968" spans="1:3" ht="13">
      <c r="A968" s="21"/>
      <c r="B968" s="21"/>
      <c r="C968" s="21"/>
    </row>
    <row r="969" spans="1:3" ht="13">
      <c r="A969" s="21"/>
      <c r="B969" s="21"/>
      <c r="C969" s="21"/>
    </row>
    <row r="970" spans="1:3" ht="13">
      <c r="A970" s="21"/>
      <c r="B970" s="21"/>
      <c r="C970" s="21"/>
    </row>
    <row r="971" spans="1:3" ht="13">
      <c r="A971" s="21"/>
      <c r="B971" s="21"/>
      <c r="C971" s="21"/>
    </row>
    <row r="972" spans="1:3" ht="13">
      <c r="A972" s="21"/>
      <c r="B972" s="21"/>
      <c r="C972" s="21"/>
    </row>
    <row r="973" spans="1:3" ht="13">
      <c r="A973" s="21"/>
      <c r="B973" s="21"/>
      <c r="C973" s="21"/>
    </row>
    <row r="974" spans="1:3" ht="13">
      <c r="A974" s="21"/>
      <c r="B974" s="21"/>
      <c r="C974" s="21"/>
    </row>
    <row r="975" spans="1:3" ht="13">
      <c r="A975" s="21"/>
      <c r="B975" s="21"/>
      <c r="C975" s="21"/>
    </row>
    <row r="976" spans="1:3" ht="13">
      <c r="A976" s="21"/>
      <c r="B976" s="21"/>
      <c r="C976" s="21"/>
    </row>
    <row r="977" spans="1:3" ht="13">
      <c r="A977" s="21"/>
      <c r="B977" s="21"/>
      <c r="C977" s="21"/>
    </row>
    <row r="978" spans="1:3" ht="13">
      <c r="A978" s="21"/>
      <c r="B978" s="21"/>
      <c r="C978" s="21"/>
    </row>
    <row r="979" spans="1:3" ht="13">
      <c r="A979" s="21"/>
      <c r="B979" s="21"/>
      <c r="C979" s="21"/>
    </row>
    <row r="980" spans="1:3" ht="13">
      <c r="A980" s="21"/>
      <c r="B980" s="21"/>
      <c r="C980" s="21"/>
    </row>
    <row r="981" spans="1:3" ht="13">
      <c r="A981" s="21"/>
      <c r="B981" s="21"/>
      <c r="C981" s="21"/>
    </row>
    <row r="982" spans="1:3" ht="13">
      <c r="A982" s="21"/>
      <c r="B982" s="21"/>
      <c r="C982" s="21"/>
    </row>
    <row r="983" spans="1:3" ht="13">
      <c r="A983" s="21"/>
      <c r="B983" s="21"/>
      <c r="C983" s="21"/>
    </row>
    <row r="984" spans="1:3" ht="13">
      <c r="A984" s="21"/>
      <c r="B984" s="21"/>
      <c r="C984" s="21"/>
    </row>
    <row r="985" spans="1:3" ht="13">
      <c r="A985" s="21"/>
      <c r="B985" s="21"/>
      <c r="C985" s="21"/>
    </row>
    <row r="986" spans="1:3" ht="13">
      <c r="A986" s="21"/>
      <c r="B986" s="21"/>
      <c r="C986" s="21"/>
    </row>
    <row r="987" spans="1:3" ht="13">
      <c r="A987" s="21"/>
      <c r="B987" s="21"/>
      <c r="C987" s="21"/>
    </row>
    <row r="988" spans="1:3" ht="13">
      <c r="A988" s="21"/>
      <c r="B988" s="21"/>
      <c r="C988" s="21"/>
    </row>
    <row r="989" spans="1:3" ht="13">
      <c r="A989" s="21"/>
      <c r="B989" s="21"/>
      <c r="C989" s="21"/>
    </row>
    <row r="990" spans="1:3" ht="13">
      <c r="A990" s="21"/>
      <c r="B990" s="21"/>
      <c r="C990" s="21"/>
    </row>
    <row r="991" spans="1:3" ht="13">
      <c r="A991" s="21"/>
      <c r="B991" s="21"/>
      <c r="C991" s="21"/>
    </row>
    <row r="992" spans="1:3" ht="13">
      <c r="A992" s="21"/>
      <c r="B992" s="21"/>
      <c r="C992" s="21"/>
    </row>
    <row r="993" spans="1:3" ht="13">
      <c r="A993" s="21"/>
      <c r="B993" s="21"/>
      <c r="C993" s="21"/>
    </row>
    <row r="994" spans="1:3" ht="13">
      <c r="A994" s="21"/>
      <c r="B994" s="21"/>
      <c r="C994" s="21"/>
    </row>
    <row r="995" spans="1:3" ht="13">
      <c r="A995" s="21"/>
      <c r="B995" s="21"/>
      <c r="C995" s="21"/>
    </row>
    <row r="996" spans="1:3" ht="13">
      <c r="A996" s="21"/>
      <c r="B996" s="21"/>
      <c r="C996" s="21"/>
    </row>
    <row r="997" spans="1:3" ht="13">
      <c r="A997" s="21"/>
      <c r="B997" s="21"/>
      <c r="C997" s="21"/>
    </row>
    <row r="998" spans="1:3" ht="13">
      <c r="A998" s="21"/>
      <c r="B998" s="21"/>
      <c r="C998" s="21"/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D999"/>
  <sheetViews>
    <sheetView workbookViewId="0">
      <selection activeCell="E22" sqref="E22"/>
    </sheetView>
  </sheetViews>
  <sheetFormatPr baseColWidth="10" defaultColWidth="12.6640625" defaultRowHeight="15.75" customHeight="1"/>
  <cols>
    <col min="1" max="1" width="28.5" style="28" bestFit="1" customWidth="1"/>
    <col min="2" max="2" width="7.6640625" style="28" bestFit="1" customWidth="1"/>
    <col min="3" max="3" width="9" style="28" bestFit="1" customWidth="1"/>
    <col min="4" max="4" width="6.6640625" style="28" bestFit="1" customWidth="1"/>
    <col min="5" max="16384" width="12.6640625" style="28"/>
  </cols>
  <sheetData>
    <row r="1" spans="1:4" ht="15.75" customHeight="1">
      <c r="A1" s="23" t="str">
        <f ca="1">IFERROR(__xludf.DUMMYFUNCTION("IMPORTRANGE(""https://docs.google.com/spreadsheets/d/1eaVzK6FcHCiSWH6vlneKycaHdBQH67V1d-FjgY0Xsl4/edit?gid=313877974#gid=313877974"",""Used iPad!A:D"")"),"Model")</f>
        <v>Model</v>
      </c>
      <c r="B1" s="24" t="str">
        <f ca="1">IFERROR(__xludf.DUMMYFUNCTION("""COMPUTED_VALUE"""),"Grade")</f>
        <v>Grade</v>
      </c>
      <c r="C1" s="24" t="str">
        <f ca="1">IFERROR(__xludf.DUMMYFUNCTION("""COMPUTED_VALUE"""),"Version")</f>
        <v>Version</v>
      </c>
      <c r="D1" s="24" t="str">
        <f ca="1">IFERROR(__xludf.DUMMYFUNCTION("""COMPUTED_VALUE"""),"Price")</f>
        <v>Price</v>
      </c>
    </row>
    <row r="2" spans="1:4" ht="15.75" customHeight="1">
      <c r="A2" s="23" t="str">
        <f ca="1">IFERROR(__xludf.DUMMYFUNCTION("""COMPUTED_VALUE"""),"iPad Air 32 WiFi")</f>
        <v>iPad Air 32 WiFi</v>
      </c>
      <c r="B2" s="24" t="str">
        <f ca="1">IFERROR(__xludf.DUMMYFUNCTION("""COMPUTED_VALUE"""),"D")</f>
        <v>D</v>
      </c>
      <c r="C2" s="24" t="str">
        <f ca="1">IFERROR(__xludf.DUMMYFUNCTION("""COMPUTED_VALUE"""),"US")</f>
        <v>US</v>
      </c>
      <c r="D2" s="24">
        <f ca="1">IFERROR(__xludf.DUMMYFUNCTION("""COMPUTED_VALUE"""),31)</f>
        <v>31</v>
      </c>
    </row>
    <row r="3" spans="1:4" ht="15.75" customHeight="1">
      <c r="A3" s="23" t="str">
        <f ca="1">IFERROR(__xludf.DUMMYFUNCTION("""COMPUTED_VALUE"""),"iPad Air1 16 WiFi")</f>
        <v>iPad Air1 16 WiFi</v>
      </c>
      <c r="B3" s="24" t="str">
        <f ca="1">IFERROR(__xludf.DUMMYFUNCTION("""COMPUTED_VALUE"""),"B")</f>
        <v>B</v>
      </c>
      <c r="C3" s="24" t="str">
        <f ca="1">IFERROR(__xludf.DUMMYFUNCTION("""COMPUTED_VALUE"""),"US")</f>
        <v>US</v>
      </c>
      <c r="D3" s="24">
        <f ca="1">IFERROR(__xludf.DUMMYFUNCTION("""COMPUTED_VALUE"""),64)</f>
        <v>64</v>
      </c>
    </row>
    <row r="4" spans="1:4" ht="15.75" customHeight="1">
      <c r="A4" s="23" t="str">
        <f ca="1">IFERROR(__xludf.DUMMYFUNCTION("""COMPUTED_VALUE"""),"iPad Air2 64 WiFi")</f>
        <v>iPad Air2 64 WiFi</v>
      </c>
      <c r="B4" s="24" t="str">
        <f ca="1">IFERROR(__xludf.DUMMYFUNCTION("""COMPUTED_VALUE"""),"B")</f>
        <v>B</v>
      </c>
      <c r="C4" s="24" t="str">
        <f ca="1">IFERROR(__xludf.DUMMYFUNCTION("""COMPUTED_VALUE"""),"US")</f>
        <v>US</v>
      </c>
      <c r="D4" s="24">
        <f ca="1">IFERROR(__xludf.DUMMYFUNCTION("""COMPUTED_VALUE"""),55)</f>
        <v>55</v>
      </c>
    </row>
    <row r="5" spans="1:4" ht="15.75" customHeight="1">
      <c r="A5" s="23" t="str">
        <f ca="1">IFERROR(__xludf.DUMMYFUNCTION("""COMPUTED_VALUE"""),"iPad Air3 64 WiFi")</f>
        <v>iPad Air3 64 WiFi</v>
      </c>
      <c r="B5" s="24" t="str">
        <f ca="1">IFERROR(__xludf.DUMMYFUNCTION("""COMPUTED_VALUE"""),"B")</f>
        <v>B</v>
      </c>
      <c r="C5" s="24" t="str">
        <f ca="1">IFERROR(__xludf.DUMMYFUNCTION("""COMPUTED_VALUE"""),"US")</f>
        <v>US</v>
      </c>
      <c r="D5" s="24">
        <f ca="1">IFERROR(__xludf.DUMMYFUNCTION("""COMPUTED_VALUE"""),143)</f>
        <v>143</v>
      </c>
    </row>
    <row r="6" spans="1:4" ht="15.75" customHeight="1">
      <c r="A6" s="23" t="str">
        <f ca="1">IFERROR(__xludf.DUMMYFUNCTION("""COMPUTED_VALUE"""),"iPad Air4 64 WiFi")</f>
        <v>iPad Air4 64 WiFi</v>
      </c>
      <c r="B6" s="24" t="str">
        <f ca="1">IFERROR(__xludf.DUMMYFUNCTION("""COMPUTED_VALUE"""),"B")</f>
        <v>B</v>
      </c>
      <c r="C6" s="24" t="str">
        <f ca="1">IFERROR(__xludf.DUMMYFUNCTION("""COMPUTED_VALUE"""),"US")</f>
        <v>US</v>
      </c>
      <c r="D6" s="24">
        <f ca="1">IFERROR(__xludf.DUMMYFUNCTION("""COMPUTED_VALUE"""),226)</f>
        <v>226</v>
      </c>
    </row>
    <row r="7" spans="1:4" ht="15.75" customHeight="1">
      <c r="A7" s="23" t="str">
        <f ca="1">IFERROR(__xludf.DUMMYFUNCTION("""COMPUTED_VALUE"""),"iPad Air5 64 WiFi")</f>
        <v>iPad Air5 64 WiFi</v>
      </c>
      <c r="B7" s="24" t="str">
        <f ca="1">IFERROR(__xludf.DUMMYFUNCTION("""COMPUTED_VALUE"""),"B")</f>
        <v>B</v>
      </c>
      <c r="C7" s="24" t="str">
        <f ca="1">IFERROR(__xludf.DUMMYFUNCTION("""COMPUTED_VALUE"""),"US")</f>
        <v>US</v>
      </c>
      <c r="D7" s="24">
        <f ca="1">IFERROR(__xludf.DUMMYFUNCTION("""COMPUTED_VALUE"""),263)</f>
        <v>263</v>
      </c>
    </row>
    <row r="8" spans="1:4" ht="15.75" customHeight="1">
      <c r="A8" s="23" t="str">
        <f ca="1">IFERROR(__xludf.DUMMYFUNCTION("""COMPUTED_VALUE"""),"iPad Air5 64 WiFi")</f>
        <v>iPad Air5 64 WiFi</v>
      </c>
      <c r="B8" s="24" t="str">
        <f ca="1">IFERROR(__xludf.DUMMYFUNCTION("""COMPUTED_VALUE"""),"B")</f>
        <v>B</v>
      </c>
      <c r="C8" s="24" t="str">
        <f ca="1">IFERROR(__xludf.DUMMYFUNCTION("""COMPUTED_VALUE"""),"US")</f>
        <v>US</v>
      </c>
      <c r="D8" s="24">
        <f ca="1">IFERROR(__xludf.DUMMYFUNCTION("""COMPUTED_VALUE"""),286)</f>
        <v>286</v>
      </c>
    </row>
    <row r="9" spans="1:4" ht="15.75" customHeight="1">
      <c r="A9" s="23" t="str">
        <f ca="1">IFERROR(__xludf.DUMMYFUNCTION("""COMPUTED_VALUE"""),"iPad Air5 64 WiFi")</f>
        <v>iPad Air5 64 WiFi</v>
      </c>
      <c r="B9" s="24" t="str">
        <f ca="1">IFERROR(__xludf.DUMMYFUNCTION("""COMPUTED_VALUE"""),"D")</f>
        <v>D</v>
      </c>
      <c r="C9" s="24" t="str">
        <f ca="1">IFERROR(__xludf.DUMMYFUNCTION("""COMPUTED_VALUE"""),"US")</f>
        <v>US</v>
      </c>
      <c r="D9" s="24">
        <f ca="1">IFERROR(__xludf.DUMMYFUNCTION("""COMPUTED_VALUE"""),201)</f>
        <v>201</v>
      </c>
    </row>
    <row r="10" spans="1:4" ht="15.75" customHeight="1">
      <c r="A10" s="23" t="str">
        <f ca="1">IFERROR(__xludf.DUMMYFUNCTION("""COMPUTED_VALUE"""),"iPad mini 3 16 WiFi")</f>
        <v>iPad mini 3 16 WiFi</v>
      </c>
      <c r="B10" s="24" t="str">
        <f ca="1">IFERROR(__xludf.DUMMYFUNCTION("""COMPUTED_VALUE"""),"B")</f>
        <v>B</v>
      </c>
      <c r="C10" s="24" t="str">
        <f ca="1">IFERROR(__xludf.DUMMYFUNCTION("""COMPUTED_VALUE"""),"US")</f>
        <v>US</v>
      </c>
      <c r="D10" s="24">
        <f ca="1">IFERROR(__xludf.DUMMYFUNCTION("""COMPUTED_VALUE"""),74)</f>
        <v>74</v>
      </c>
    </row>
    <row r="11" spans="1:4" ht="15.75" customHeight="1">
      <c r="A11" s="23" t="str">
        <f ca="1">IFERROR(__xludf.DUMMYFUNCTION("""COMPUTED_VALUE"""),"iPad mini 5 256 WiFi")</f>
        <v>iPad mini 5 256 WiFi</v>
      </c>
      <c r="B11" s="24" t="str">
        <f ca="1">IFERROR(__xludf.DUMMYFUNCTION("""COMPUTED_VALUE"""),"D")</f>
        <v>D</v>
      </c>
      <c r="C11" s="24" t="str">
        <f ca="1">IFERROR(__xludf.DUMMYFUNCTION("""COMPUTED_VALUE"""),"US")</f>
        <v>US</v>
      </c>
      <c r="D11" s="24">
        <f ca="1">IFERROR(__xludf.DUMMYFUNCTION("""COMPUTED_VALUE"""),110)</f>
        <v>110</v>
      </c>
    </row>
    <row r="12" spans="1:4" ht="15.75" customHeight="1">
      <c r="A12" s="23" t="str">
        <f ca="1">IFERROR(__xludf.DUMMYFUNCTION("""COMPUTED_VALUE"""),"iPad mini 5 64 WiFi")</f>
        <v>iPad mini 5 64 WiFi</v>
      </c>
      <c r="B12" s="24" t="str">
        <f ca="1">IFERROR(__xludf.DUMMYFUNCTION("""COMPUTED_VALUE"""),"D")</f>
        <v>D</v>
      </c>
      <c r="C12" s="24" t="str">
        <f ca="1">IFERROR(__xludf.DUMMYFUNCTION("""COMPUTED_VALUE"""),"US")</f>
        <v>US</v>
      </c>
      <c r="D12" s="24">
        <f ca="1">IFERROR(__xludf.DUMMYFUNCTION("""COMPUTED_VALUE"""),99)</f>
        <v>99</v>
      </c>
    </row>
    <row r="13" spans="1:4" ht="15.75" customHeight="1">
      <c r="A13" s="23" t="str">
        <f ca="1">IFERROR(__xludf.DUMMYFUNCTION("""COMPUTED_VALUE"""),"iPad mini 6 256 WiFi")</f>
        <v>iPad mini 6 256 WiFi</v>
      </c>
      <c r="B13" s="24" t="str">
        <f ca="1">IFERROR(__xludf.DUMMYFUNCTION("""COMPUTED_VALUE"""),"B")</f>
        <v>B</v>
      </c>
      <c r="C13" s="24" t="str">
        <f ca="1">IFERROR(__xludf.DUMMYFUNCTION("""COMPUTED_VALUE"""),"US")</f>
        <v>US</v>
      </c>
      <c r="D13" s="24">
        <f ca="1">IFERROR(__xludf.DUMMYFUNCTION("""COMPUTED_VALUE"""),291)</f>
        <v>291</v>
      </c>
    </row>
    <row r="14" spans="1:4" ht="15.75" customHeight="1">
      <c r="A14" s="23" t="str">
        <f ca="1">IFERROR(__xludf.DUMMYFUNCTION("""COMPUTED_VALUE"""),"iPad mini 6 256 WiFi")</f>
        <v>iPad mini 6 256 WiFi</v>
      </c>
      <c r="B14" s="24" t="str">
        <f ca="1">IFERROR(__xludf.DUMMYFUNCTION("""COMPUTED_VALUE"""),"B")</f>
        <v>B</v>
      </c>
      <c r="C14" s="24" t="str">
        <f ca="1">IFERROR(__xludf.DUMMYFUNCTION("""COMPUTED_VALUE"""),"US")</f>
        <v>US</v>
      </c>
      <c r="D14" s="24">
        <f ca="1">IFERROR(__xludf.DUMMYFUNCTION("""COMPUTED_VALUE"""),308)</f>
        <v>308</v>
      </c>
    </row>
    <row r="15" spans="1:4" ht="15.75" customHeight="1">
      <c r="A15" s="23" t="str">
        <f ca="1">IFERROR(__xludf.DUMMYFUNCTION("""COMPUTED_VALUE"""),"iPad mini 6 256 WiFi")</f>
        <v>iPad mini 6 256 WiFi</v>
      </c>
      <c r="B15" s="24" t="str">
        <f ca="1">IFERROR(__xludf.DUMMYFUNCTION("""COMPUTED_VALUE"""),"D")</f>
        <v>D</v>
      </c>
      <c r="C15" s="24" t="str">
        <f ca="1">IFERROR(__xludf.DUMMYFUNCTION("""COMPUTED_VALUE"""),"US")</f>
        <v>US</v>
      </c>
      <c r="D15" s="24">
        <f ca="1">IFERROR(__xludf.DUMMYFUNCTION("""COMPUTED_VALUE"""),234)</f>
        <v>234</v>
      </c>
    </row>
    <row r="16" spans="1:4" ht="15.75" customHeight="1">
      <c r="A16" s="23" t="str">
        <f ca="1">IFERROR(__xludf.DUMMYFUNCTION("""COMPUTED_VALUE"""),"iPad mini 6 64 WiFi")</f>
        <v>iPad mini 6 64 WiFi</v>
      </c>
      <c r="B16" s="24" t="str">
        <f ca="1">IFERROR(__xludf.DUMMYFUNCTION("""COMPUTED_VALUE"""),"B")</f>
        <v>B</v>
      </c>
      <c r="C16" s="24" t="str">
        <f ca="1">IFERROR(__xludf.DUMMYFUNCTION("""COMPUTED_VALUE"""),"US")</f>
        <v>US</v>
      </c>
      <c r="D16" s="24">
        <f ca="1">IFERROR(__xludf.DUMMYFUNCTION("""COMPUTED_VALUE"""),247)</f>
        <v>247</v>
      </c>
    </row>
    <row r="17" spans="1:4" ht="15.75" customHeight="1">
      <c r="A17" s="23" t="str">
        <f ca="1">IFERROR(__xludf.DUMMYFUNCTION("""COMPUTED_VALUE"""),"iPad mini 6 64 WiFi")</f>
        <v>iPad mini 6 64 WiFi</v>
      </c>
      <c r="B17" s="24" t="str">
        <f ca="1">IFERROR(__xludf.DUMMYFUNCTION("""COMPUTED_VALUE"""),"D")</f>
        <v>D</v>
      </c>
      <c r="C17" s="24" t="str">
        <f ca="1">IFERROR(__xludf.DUMMYFUNCTION("""COMPUTED_VALUE"""),"US")</f>
        <v>US</v>
      </c>
      <c r="D17" s="24">
        <f ca="1">IFERROR(__xludf.DUMMYFUNCTION("""COMPUTED_VALUE"""),186)</f>
        <v>186</v>
      </c>
    </row>
    <row r="18" spans="1:4" ht="15.75" customHeight="1">
      <c r="A18" s="23" t="str">
        <f ca="1">IFERROR(__xludf.DUMMYFUNCTION("""COMPUTED_VALUE"""),"iPad mini A17 Pro 128 WiFi")</f>
        <v>iPad mini A17 Pro 128 WiFi</v>
      </c>
      <c r="B18" s="24" t="str">
        <f ca="1">IFERROR(__xludf.DUMMYFUNCTION("""COMPUTED_VALUE"""),"A+")</f>
        <v>A+</v>
      </c>
      <c r="C18" s="24" t="str">
        <f ca="1">IFERROR(__xludf.DUMMYFUNCTION("""COMPUTED_VALUE"""),"US")</f>
        <v>US</v>
      </c>
      <c r="D18" s="24">
        <f ca="1">IFERROR(__xludf.DUMMYFUNCTION("""COMPUTED_VALUE"""),579.6)</f>
        <v>579.6</v>
      </c>
    </row>
    <row r="19" spans="1:4" ht="15.75" customHeight="1">
      <c r="A19" s="23" t="str">
        <f ca="1">IFERROR(__xludf.DUMMYFUNCTION("""COMPUTED_VALUE"""),"iPad mini A17 Pro 256 WiFi")</f>
        <v>iPad mini A17 Pro 256 WiFi</v>
      </c>
      <c r="B19" s="24" t="str">
        <f ca="1">IFERROR(__xludf.DUMMYFUNCTION("""COMPUTED_VALUE"""),"A+")</f>
        <v>A+</v>
      </c>
      <c r="C19" s="24" t="str">
        <f ca="1">IFERROR(__xludf.DUMMYFUNCTION("""COMPUTED_VALUE"""),"US")</f>
        <v>US</v>
      </c>
      <c r="D19" s="24">
        <f ca="1">IFERROR(__xludf.DUMMYFUNCTION("""COMPUTED_VALUE"""),607.95)</f>
        <v>607.95000000000005</v>
      </c>
    </row>
    <row r="20" spans="1:4" ht="15.75" customHeight="1">
      <c r="A20" s="23" t="str">
        <f ca="1">IFERROR(__xludf.DUMMYFUNCTION("""COMPUTED_VALUE"""),"iPad mini A17 Pro 256 WiFi")</f>
        <v>iPad mini A17 Pro 256 WiFi</v>
      </c>
      <c r="B20" s="24" t="str">
        <f ca="1">IFERROR(__xludf.DUMMYFUNCTION("""COMPUTED_VALUE"""),"A+")</f>
        <v>A+</v>
      </c>
      <c r="C20" s="24" t="str">
        <f ca="1">IFERROR(__xludf.DUMMYFUNCTION("""COMPUTED_VALUE"""),"US")</f>
        <v>US</v>
      </c>
      <c r="D20" s="24">
        <f ca="1">IFERROR(__xludf.DUMMYFUNCTION("""COMPUTED_VALUE"""),658.35)</f>
        <v>658.35</v>
      </c>
    </row>
    <row r="21" spans="1:4" ht="15.75" customHeight="1">
      <c r="A21" s="23" t="str">
        <f ca="1">IFERROR(__xludf.DUMMYFUNCTION("""COMPUTED_VALUE"""),"iPad mini A17 Pro 512 WiFi")</f>
        <v>iPad mini A17 Pro 512 WiFi</v>
      </c>
      <c r="B21" s="24" t="str">
        <f ca="1">IFERROR(__xludf.DUMMYFUNCTION("""COMPUTED_VALUE"""),"A+")</f>
        <v>A+</v>
      </c>
      <c r="C21" s="24" t="str">
        <f ca="1">IFERROR(__xludf.DUMMYFUNCTION("""COMPUTED_VALUE"""),"US")</f>
        <v>US</v>
      </c>
      <c r="D21" s="24">
        <f ca="1">IFERROR(__xludf.DUMMYFUNCTION("""COMPUTED_VALUE"""),783.3)</f>
        <v>783.3</v>
      </c>
    </row>
    <row r="22" spans="1:4" ht="15.75" customHeight="1">
      <c r="A22" s="23" t="str">
        <f ca="1">IFERROR(__xludf.DUMMYFUNCTION("""COMPUTED_VALUE"""),"iPad Pro 10.5 256 WiFi")</f>
        <v>iPad Pro 10.5 256 WiFi</v>
      </c>
      <c r="B22" s="24" t="str">
        <f ca="1">IFERROR(__xludf.DUMMYFUNCTION("""COMPUTED_VALUE"""),"B")</f>
        <v>B</v>
      </c>
      <c r="C22" s="24" t="str">
        <f ca="1">IFERROR(__xludf.DUMMYFUNCTION("""COMPUTED_VALUE"""),"US")</f>
        <v>US</v>
      </c>
      <c r="D22" s="24">
        <f ca="1">IFERROR(__xludf.DUMMYFUNCTION("""COMPUTED_VALUE"""),114)</f>
        <v>114</v>
      </c>
    </row>
    <row r="23" spans="1:4" ht="15.75" customHeight="1">
      <c r="A23" s="23" t="str">
        <f ca="1">IFERROR(__xludf.DUMMYFUNCTION("""COMPUTED_VALUE"""),"iPad Pro 10.5 256 WiFi")</f>
        <v>iPad Pro 10.5 256 WiFi</v>
      </c>
      <c r="B23" s="24" t="str">
        <f ca="1">IFERROR(__xludf.DUMMYFUNCTION("""COMPUTED_VALUE"""),"B")</f>
        <v>B</v>
      </c>
      <c r="C23" s="24" t="str">
        <f ca="1">IFERROR(__xludf.DUMMYFUNCTION("""COMPUTED_VALUE"""),"US")</f>
        <v>US</v>
      </c>
      <c r="D23" s="24">
        <f ca="1">IFERROR(__xludf.DUMMYFUNCTION("""COMPUTED_VALUE"""),123)</f>
        <v>123</v>
      </c>
    </row>
    <row r="24" spans="1:4" ht="15.75" customHeight="1">
      <c r="A24" s="23" t="str">
        <f ca="1">IFERROR(__xludf.DUMMYFUNCTION("""COMPUTED_VALUE"""),"iPad Pro 10.5 256 WiFi")</f>
        <v>iPad Pro 10.5 256 WiFi</v>
      </c>
      <c r="B24" s="24" t="str">
        <f ca="1">IFERROR(__xludf.DUMMYFUNCTION("""COMPUTED_VALUE"""),"D")</f>
        <v>D</v>
      </c>
      <c r="C24" s="24" t="str">
        <f ca="1">IFERROR(__xludf.DUMMYFUNCTION("""COMPUTED_VALUE"""),"US")</f>
        <v>US</v>
      </c>
      <c r="D24" s="24">
        <f ca="1">IFERROR(__xludf.DUMMYFUNCTION("""COMPUTED_VALUE"""),84)</f>
        <v>84</v>
      </c>
    </row>
    <row r="25" spans="1:4" ht="15.75" customHeight="1">
      <c r="A25" s="23" t="str">
        <f ca="1">IFERROR(__xludf.DUMMYFUNCTION("""COMPUTED_VALUE"""),"iPad Pro 10.5 64 WiFi")</f>
        <v>iPad Pro 10.5 64 WiFi</v>
      </c>
      <c r="B25" s="24" t="str">
        <f ca="1">IFERROR(__xludf.DUMMYFUNCTION("""COMPUTED_VALUE"""),"B")</f>
        <v>B</v>
      </c>
      <c r="C25" s="24" t="str">
        <f ca="1">IFERROR(__xludf.DUMMYFUNCTION("""COMPUTED_VALUE"""),"US")</f>
        <v>US</v>
      </c>
      <c r="D25" s="24">
        <f ca="1">IFERROR(__xludf.DUMMYFUNCTION("""COMPUTED_VALUE"""),94)</f>
        <v>94</v>
      </c>
    </row>
    <row r="26" spans="1:4" ht="15.75" customHeight="1">
      <c r="A26" s="23" t="str">
        <f ca="1">IFERROR(__xludf.DUMMYFUNCTION("""COMPUTED_VALUE"""),"iPad Pro 10.5 64 WiFi")</f>
        <v>iPad Pro 10.5 64 WiFi</v>
      </c>
      <c r="B26" s="24" t="str">
        <f ca="1">IFERROR(__xludf.DUMMYFUNCTION("""COMPUTED_VALUE"""),"B")</f>
        <v>B</v>
      </c>
      <c r="C26" s="24" t="str">
        <f ca="1">IFERROR(__xludf.DUMMYFUNCTION("""COMPUTED_VALUE"""),"US")</f>
        <v>US</v>
      </c>
      <c r="D26" s="24">
        <f ca="1">IFERROR(__xludf.DUMMYFUNCTION("""COMPUTED_VALUE"""),117)</f>
        <v>117</v>
      </c>
    </row>
    <row r="27" spans="1:4" ht="15.75" customHeight="1">
      <c r="A27" s="23" t="str">
        <f ca="1">IFERROR(__xludf.DUMMYFUNCTION("""COMPUTED_VALUE"""),"iPad Pro 10.5 64 WiFi")</f>
        <v>iPad Pro 10.5 64 WiFi</v>
      </c>
      <c r="B27" s="24" t="str">
        <f ca="1">IFERROR(__xludf.DUMMYFUNCTION("""COMPUTED_VALUE"""),"D")</f>
        <v>D</v>
      </c>
      <c r="C27" s="24" t="str">
        <f ca="1">IFERROR(__xludf.DUMMYFUNCTION("""COMPUTED_VALUE"""),"US")</f>
        <v>US</v>
      </c>
      <c r="D27" s="24">
        <f ca="1">IFERROR(__xludf.DUMMYFUNCTION("""COMPUTED_VALUE"""),51)</f>
        <v>51</v>
      </c>
    </row>
    <row r="28" spans="1:4" ht="15.75" customHeight="1">
      <c r="A28" s="23" t="str">
        <f ca="1">IFERROR(__xludf.DUMMYFUNCTION("""COMPUTED_VALUE"""),"iPad Pro 12.9in2 256 WiFi")</f>
        <v>iPad Pro 12.9in2 256 WiFi</v>
      </c>
      <c r="B28" s="24" t="str">
        <f ca="1">IFERROR(__xludf.DUMMYFUNCTION("""COMPUTED_VALUE"""),"B")</f>
        <v>B</v>
      </c>
      <c r="C28" s="24" t="str">
        <f ca="1">IFERROR(__xludf.DUMMYFUNCTION("""COMPUTED_VALUE"""),"US")</f>
        <v>US</v>
      </c>
      <c r="D28" s="24">
        <f ca="1">IFERROR(__xludf.DUMMYFUNCTION("""COMPUTED_VALUE"""),188)</f>
        <v>188</v>
      </c>
    </row>
    <row r="29" spans="1:4" ht="15.75" customHeight="1">
      <c r="A29" s="23" t="str">
        <f ca="1">IFERROR(__xludf.DUMMYFUNCTION("""COMPUTED_VALUE"""),"iPad Pro 12.9in2 256 WiFi")</f>
        <v>iPad Pro 12.9in2 256 WiFi</v>
      </c>
      <c r="B29" s="24" t="str">
        <f ca="1">IFERROR(__xludf.DUMMYFUNCTION("""COMPUTED_VALUE"""),"D")</f>
        <v>D</v>
      </c>
      <c r="C29" s="24" t="str">
        <f ca="1">IFERROR(__xludf.DUMMYFUNCTION("""COMPUTED_VALUE"""),"US")</f>
        <v>US</v>
      </c>
      <c r="D29" s="24">
        <f ca="1">IFERROR(__xludf.DUMMYFUNCTION("""COMPUTED_VALUE"""),93)</f>
        <v>93</v>
      </c>
    </row>
    <row r="30" spans="1:4" ht="15.75" customHeight="1">
      <c r="A30" s="23" t="str">
        <f ca="1">IFERROR(__xludf.DUMMYFUNCTION("""COMPUTED_VALUE"""),"iPad Pro 12.9in2 64 WiFi")</f>
        <v>iPad Pro 12.9in2 64 WiFi</v>
      </c>
      <c r="B30" s="24" t="str">
        <f ca="1">IFERROR(__xludf.DUMMYFUNCTION("""COMPUTED_VALUE"""),"B")</f>
        <v>B</v>
      </c>
      <c r="C30" s="24" t="str">
        <f ca="1">IFERROR(__xludf.DUMMYFUNCTION("""COMPUTED_VALUE"""),"US")</f>
        <v>US</v>
      </c>
      <c r="D30" s="24">
        <f ca="1">IFERROR(__xludf.DUMMYFUNCTION("""COMPUTED_VALUE"""),238)</f>
        <v>238</v>
      </c>
    </row>
    <row r="31" spans="1:4" ht="15.75" customHeight="1">
      <c r="A31" s="23" t="str">
        <f ca="1">IFERROR(__xludf.DUMMYFUNCTION("""COMPUTED_VALUE"""),"iPad Pro 12.9in2 64 WiFi")</f>
        <v>iPad Pro 12.9in2 64 WiFi</v>
      </c>
      <c r="B31" s="24" t="str">
        <f ca="1">IFERROR(__xludf.DUMMYFUNCTION("""COMPUTED_VALUE"""),"D")</f>
        <v>D</v>
      </c>
      <c r="C31" s="24" t="str">
        <f ca="1">IFERROR(__xludf.DUMMYFUNCTION("""COMPUTED_VALUE"""),"US")</f>
        <v>US</v>
      </c>
      <c r="D31" s="24">
        <f ca="1">IFERROR(__xludf.DUMMYFUNCTION("""COMPUTED_VALUE"""),62)</f>
        <v>62</v>
      </c>
    </row>
    <row r="32" spans="1:4" ht="15.75" customHeight="1">
      <c r="A32" s="23" t="str">
        <f ca="1">IFERROR(__xludf.DUMMYFUNCTION("""COMPUTED_VALUE"""),"iPad Pro 12.9in3 256 WiFi")</f>
        <v>iPad Pro 12.9in3 256 WiFi</v>
      </c>
      <c r="B32" s="24" t="str">
        <f ca="1">IFERROR(__xludf.DUMMYFUNCTION("""COMPUTED_VALUE"""),"B")</f>
        <v>B</v>
      </c>
      <c r="C32" s="24" t="str">
        <f ca="1">IFERROR(__xludf.DUMMYFUNCTION("""COMPUTED_VALUE"""),"US")</f>
        <v>US</v>
      </c>
      <c r="D32" s="24">
        <f ca="1">IFERROR(__xludf.DUMMYFUNCTION("""COMPUTED_VALUE"""),318.15)</f>
        <v>318.14999999999998</v>
      </c>
    </row>
    <row r="33" spans="1:4" ht="15.75" customHeight="1">
      <c r="A33" s="23" t="str">
        <f ca="1">IFERROR(__xludf.DUMMYFUNCTION("""COMPUTED_VALUE"""),"iPad Pro 12.9in3 512 WiFi")</f>
        <v>iPad Pro 12.9in3 512 WiFi</v>
      </c>
      <c r="B33" s="24" t="str">
        <f ca="1">IFERROR(__xludf.DUMMYFUNCTION("""COMPUTED_VALUE"""),"D")</f>
        <v>D</v>
      </c>
      <c r="C33" s="24" t="str">
        <f ca="1">IFERROR(__xludf.DUMMYFUNCTION("""COMPUTED_VALUE"""),"US")</f>
        <v>US</v>
      </c>
      <c r="D33" s="24">
        <f ca="1">IFERROR(__xludf.DUMMYFUNCTION("""COMPUTED_VALUE"""),238)</f>
        <v>238</v>
      </c>
    </row>
    <row r="34" spans="1:4" ht="15.75" customHeight="1">
      <c r="A34" s="23" t="str">
        <f ca="1">IFERROR(__xludf.DUMMYFUNCTION("""COMPUTED_VALUE"""),"iPad Pro 12.9in3 64 WiFi")</f>
        <v>iPad Pro 12.9in3 64 WiFi</v>
      </c>
      <c r="B34" s="24" t="str">
        <f ca="1">IFERROR(__xludf.DUMMYFUNCTION("""COMPUTED_VALUE"""),"D")</f>
        <v>D</v>
      </c>
      <c r="C34" s="24" t="str">
        <f ca="1">IFERROR(__xludf.DUMMYFUNCTION("""COMPUTED_VALUE"""),"US")</f>
        <v>US</v>
      </c>
      <c r="D34" s="24">
        <f ca="1">IFERROR(__xludf.DUMMYFUNCTION("""COMPUTED_VALUE"""),190)</f>
        <v>190</v>
      </c>
    </row>
    <row r="35" spans="1:4" ht="15.75" customHeight="1">
      <c r="A35" s="23" t="str">
        <f ca="1">IFERROR(__xludf.DUMMYFUNCTION("""COMPUTED_VALUE"""),"iPad Pro 9.7 128 WiFi")</f>
        <v>iPad Pro 9.7 128 WiFi</v>
      </c>
      <c r="B35" s="24" t="str">
        <f ca="1">IFERROR(__xludf.DUMMYFUNCTION("""COMPUTED_VALUE"""),"B")</f>
        <v>B</v>
      </c>
      <c r="C35" s="24" t="str">
        <f ca="1">IFERROR(__xludf.DUMMYFUNCTION("""COMPUTED_VALUE"""),"US")</f>
        <v>US</v>
      </c>
      <c r="D35" s="24">
        <f ca="1">IFERROR(__xludf.DUMMYFUNCTION("""COMPUTED_VALUE"""),70)</f>
        <v>70</v>
      </c>
    </row>
    <row r="36" spans="1:4" ht="15.75" customHeight="1">
      <c r="A36" s="23" t="str">
        <f ca="1">IFERROR(__xludf.DUMMYFUNCTION("""COMPUTED_VALUE"""),"iPad Pro 9.7 128 WiFi")</f>
        <v>iPad Pro 9.7 128 WiFi</v>
      </c>
      <c r="B36" s="24" t="str">
        <f ca="1">IFERROR(__xludf.DUMMYFUNCTION("""COMPUTED_VALUE"""),"B")</f>
        <v>B</v>
      </c>
      <c r="C36" s="24" t="str">
        <f ca="1">IFERROR(__xludf.DUMMYFUNCTION("""COMPUTED_VALUE"""),"US")</f>
        <v>US</v>
      </c>
      <c r="D36" s="24">
        <f ca="1">IFERROR(__xludf.DUMMYFUNCTION("""COMPUTED_VALUE"""),84)</f>
        <v>84</v>
      </c>
    </row>
    <row r="37" spans="1:4" ht="15.75" customHeight="1">
      <c r="A37" s="23" t="str">
        <f ca="1">IFERROR(__xludf.DUMMYFUNCTION("""COMPUTED_VALUE"""),"iPad Pro 9.7 128 WiFi")</f>
        <v>iPad Pro 9.7 128 WiFi</v>
      </c>
      <c r="B37" s="24" t="str">
        <f ca="1">IFERROR(__xludf.DUMMYFUNCTION("""COMPUTED_VALUE"""),"D")</f>
        <v>D</v>
      </c>
      <c r="C37" s="24" t="str">
        <f ca="1">IFERROR(__xludf.DUMMYFUNCTION("""COMPUTED_VALUE"""),"US")</f>
        <v>US</v>
      </c>
      <c r="D37" s="24">
        <f ca="1">IFERROR(__xludf.DUMMYFUNCTION("""COMPUTED_VALUE"""),36)</f>
        <v>36</v>
      </c>
    </row>
    <row r="38" spans="1:4" ht="15.75" customHeight="1">
      <c r="A38" s="23" t="str">
        <f ca="1">IFERROR(__xludf.DUMMYFUNCTION("""COMPUTED_VALUE"""),"iPad Pro2 128 WiFi")</f>
        <v>iPad Pro2 128 WiFi</v>
      </c>
      <c r="B38" s="24" t="str">
        <f ca="1">IFERROR(__xludf.DUMMYFUNCTION("""COMPUTED_VALUE"""),"B")</f>
        <v>B</v>
      </c>
      <c r="C38" s="24" t="str">
        <f ca="1">IFERROR(__xludf.DUMMYFUNCTION("""COMPUTED_VALUE"""),"US")</f>
        <v>US</v>
      </c>
      <c r="D38" s="24">
        <f ca="1">IFERROR(__xludf.DUMMYFUNCTION("""COMPUTED_VALUE"""),362.25)</f>
        <v>362.25</v>
      </c>
    </row>
    <row r="39" spans="1:4" ht="15.75" customHeight="1">
      <c r="A39" s="23" t="str">
        <f ca="1">IFERROR(__xludf.DUMMYFUNCTION("""COMPUTED_VALUE"""),"iPad Pro2 128 WiFi")</f>
        <v>iPad Pro2 128 WiFi</v>
      </c>
      <c r="B39" s="24" t="str">
        <f ca="1">IFERROR(__xludf.DUMMYFUNCTION("""COMPUTED_VALUE"""),"B")</f>
        <v>B</v>
      </c>
      <c r="C39" s="24" t="str">
        <f ca="1">IFERROR(__xludf.DUMMYFUNCTION("""COMPUTED_VALUE"""),"US")</f>
        <v>US</v>
      </c>
      <c r="D39" s="24">
        <f ca="1">IFERROR(__xludf.DUMMYFUNCTION("""COMPUTED_VALUE"""),371.7)</f>
        <v>371.7</v>
      </c>
    </row>
    <row r="40" spans="1:4" ht="15.75" customHeight="1">
      <c r="A40" s="23" t="str">
        <f ca="1">IFERROR(__xludf.DUMMYFUNCTION("""COMPUTED_VALUE"""),"iPad Pro2 128 WiFi")</f>
        <v>iPad Pro2 128 WiFi</v>
      </c>
      <c r="B40" s="24" t="str">
        <f ca="1">IFERROR(__xludf.DUMMYFUNCTION("""COMPUTED_VALUE"""),"D")</f>
        <v>D</v>
      </c>
      <c r="C40" s="24" t="str">
        <f ca="1">IFERROR(__xludf.DUMMYFUNCTION("""COMPUTED_VALUE"""),"US")</f>
        <v>US</v>
      </c>
      <c r="D40" s="24">
        <f ca="1">IFERROR(__xludf.DUMMYFUNCTION("""COMPUTED_VALUE"""),265)</f>
        <v>265</v>
      </c>
    </row>
    <row r="41" spans="1:4" ht="15.75" customHeight="1">
      <c r="A41" s="23" t="str">
        <f ca="1">IFERROR(__xludf.DUMMYFUNCTION("""COMPUTED_VALUE"""),"iPad Pro2 256 WiFi")</f>
        <v>iPad Pro2 256 WiFi</v>
      </c>
      <c r="B41" s="24" t="str">
        <f ca="1">IFERROR(__xludf.DUMMYFUNCTION("""COMPUTED_VALUE"""),"B")</f>
        <v>B</v>
      </c>
      <c r="C41" s="24" t="str">
        <f ca="1">IFERROR(__xludf.DUMMYFUNCTION("""COMPUTED_VALUE"""),"US")</f>
        <v>US</v>
      </c>
      <c r="D41" s="24">
        <f ca="1">IFERROR(__xludf.DUMMYFUNCTION("""COMPUTED_VALUE"""),272)</f>
        <v>272</v>
      </c>
    </row>
    <row r="42" spans="1:4" ht="15.75" customHeight="1">
      <c r="A42" s="23" t="str">
        <f ca="1">IFERROR(__xludf.DUMMYFUNCTION("""COMPUTED_VALUE"""),"iPad Pro2 256 WiFi")</f>
        <v>iPad Pro2 256 WiFi</v>
      </c>
      <c r="B42" s="24" t="str">
        <f ca="1">IFERROR(__xludf.DUMMYFUNCTION("""COMPUTED_VALUE"""),"B")</f>
        <v>B</v>
      </c>
      <c r="C42" s="24" t="str">
        <f ca="1">IFERROR(__xludf.DUMMYFUNCTION("""COMPUTED_VALUE"""),"US")</f>
        <v>US</v>
      </c>
      <c r="D42" s="24">
        <f ca="1">IFERROR(__xludf.DUMMYFUNCTION("""COMPUTED_VALUE"""),247)</f>
        <v>247</v>
      </c>
    </row>
    <row r="43" spans="1:4" ht="15.75" customHeight="1">
      <c r="A43" s="23" t="str">
        <f ca="1">IFERROR(__xludf.DUMMYFUNCTION("""COMPUTED_VALUE"""),"iPad Pro2 256 WiFi")</f>
        <v>iPad Pro2 256 WiFi</v>
      </c>
      <c r="B43" s="24" t="str">
        <f ca="1">IFERROR(__xludf.DUMMYFUNCTION("""COMPUTED_VALUE"""),"D")</f>
        <v>D</v>
      </c>
      <c r="C43" s="24" t="str">
        <f ca="1">IFERROR(__xludf.DUMMYFUNCTION("""COMPUTED_VALUE"""),"US")</f>
        <v>US</v>
      </c>
      <c r="D43" s="24">
        <f ca="1">IFERROR(__xludf.DUMMYFUNCTION("""COMPUTED_VALUE"""),240.5)</f>
        <v>240.5</v>
      </c>
    </row>
    <row r="44" spans="1:4" ht="15.75" customHeight="1">
      <c r="A44" s="23" t="str">
        <f ca="1">IFERROR(__xludf.DUMMYFUNCTION("""COMPUTED_VALUE"""),"iPad Pro2 512 WiFi")</f>
        <v>iPad Pro2 512 WiFi</v>
      </c>
      <c r="B44" s="24" t="str">
        <f ca="1">IFERROR(__xludf.DUMMYFUNCTION("""COMPUTED_VALUE"""),"B")</f>
        <v>B</v>
      </c>
      <c r="C44" s="24" t="str">
        <f ca="1">IFERROR(__xludf.DUMMYFUNCTION("""COMPUTED_VALUE"""),"US")</f>
        <v>US</v>
      </c>
      <c r="D44" s="24">
        <f ca="1">IFERROR(__xludf.DUMMYFUNCTION("""COMPUTED_VALUE"""),329.7)</f>
        <v>329.7</v>
      </c>
    </row>
    <row r="45" spans="1:4" ht="15.75" customHeight="1">
      <c r="A45" s="23" t="str">
        <f ca="1">IFERROR(__xludf.DUMMYFUNCTION("""COMPUTED_VALUE"""),"iPad Pro2 512 WiFi")</f>
        <v>iPad Pro2 512 WiFi</v>
      </c>
      <c r="B45" s="24" t="str">
        <f ca="1">IFERROR(__xludf.DUMMYFUNCTION("""COMPUTED_VALUE"""),"D")</f>
        <v>D</v>
      </c>
      <c r="C45" s="24" t="str">
        <f ca="1">IFERROR(__xludf.DUMMYFUNCTION("""COMPUTED_VALUE"""),"US")</f>
        <v>US</v>
      </c>
      <c r="D45" s="24">
        <f ca="1">IFERROR(__xludf.DUMMYFUNCTION("""COMPUTED_VALUE"""),211)</f>
        <v>211</v>
      </c>
    </row>
    <row r="46" spans="1:4" ht="15.75" customHeight="1">
      <c r="A46" s="23" t="str">
        <f ca="1">IFERROR(__xludf.DUMMYFUNCTION("""COMPUTED_VALUE"""),"iPad Pro3 128 WiFi")</f>
        <v>iPad Pro3 128 WiFi</v>
      </c>
      <c r="B46" s="24" t="str">
        <f ca="1">IFERROR(__xludf.DUMMYFUNCTION("""COMPUTED_VALUE"""),"B")</f>
        <v>B</v>
      </c>
      <c r="C46" s="24" t="str">
        <f ca="1">IFERROR(__xludf.DUMMYFUNCTION("""COMPUTED_VALUE"""),"US")</f>
        <v>US</v>
      </c>
      <c r="D46" s="24">
        <f ca="1">IFERROR(__xludf.DUMMYFUNCTION("""COMPUTED_VALUE"""),439.95)</f>
        <v>439.95</v>
      </c>
    </row>
    <row r="47" spans="1:4" ht="15.75" customHeight="1">
      <c r="A47" s="23" t="str">
        <f ca="1">IFERROR(__xludf.DUMMYFUNCTION("""COMPUTED_VALUE"""),"iPad Pro3 128 WiFi")</f>
        <v>iPad Pro3 128 WiFi</v>
      </c>
      <c r="B47" s="24" t="str">
        <f ca="1">IFERROR(__xludf.DUMMYFUNCTION("""COMPUTED_VALUE"""),"B")</f>
        <v>B</v>
      </c>
      <c r="C47" s="24" t="str">
        <f ca="1">IFERROR(__xludf.DUMMYFUNCTION("""COMPUTED_VALUE"""),"US")</f>
        <v>US</v>
      </c>
      <c r="D47" s="24">
        <f ca="1">IFERROR(__xludf.DUMMYFUNCTION("""COMPUTED_VALUE"""),459.9)</f>
        <v>459.9</v>
      </c>
    </row>
    <row r="48" spans="1:4" ht="15.75" customHeight="1">
      <c r="A48" s="23" t="str">
        <f ca="1">IFERROR(__xludf.DUMMYFUNCTION("""COMPUTED_VALUE"""),"iPad Pro3 128 WiFi")</f>
        <v>iPad Pro3 128 WiFi</v>
      </c>
      <c r="B48" s="24" t="str">
        <f ca="1">IFERROR(__xludf.DUMMYFUNCTION("""COMPUTED_VALUE"""),"D")</f>
        <v>D</v>
      </c>
      <c r="C48" s="24" t="str">
        <f ca="1">IFERROR(__xludf.DUMMYFUNCTION("""COMPUTED_VALUE"""),"US")</f>
        <v>US</v>
      </c>
      <c r="D48" s="24">
        <f ca="1">IFERROR(__xludf.DUMMYFUNCTION("""COMPUTED_VALUE"""),401.1)</f>
        <v>401.1</v>
      </c>
    </row>
    <row r="49" spans="1:4" ht="15.75" customHeight="1">
      <c r="A49" s="23" t="str">
        <f ca="1">IFERROR(__xludf.DUMMYFUNCTION("""COMPUTED_VALUE"""),"iPad Pro3 256 WiFi")</f>
        <v>iPad Pro3 256 WiFi</v>
      </c>
      <c r="B49" s="24" t="str">
        <f ca="1">IFERROR(__xludf.DUMMYFUNCTION("""COMPUTED_VALUE"""),"B")</f>
        <v>B</v>
      </c>
      <c r="C49" s="24" t="str">
        <f ca="1">IFERROR(__xludf.DUMMYFUNCTION("""COMPUTED_VALUE"""),"US")</f>
        <v>US</v>
      </c>
      <c r="D49" s="24">
        <f ca="1">IFERROR(__xludf.DUMMYFUNCTION("""COMPUTED_VALUE"""),458.85)</f>
        <v>458.85</v>
      </c>
    </row>
    <row r="50" spans="1:4" ht="16">
      <c r="A50" s="23" t="str">
        <f ca="1">IFERROR(__xludf.DUMMYFUNCTION("""COMPUTED_VALUE"""),"iPad Pro4 128 WiFi")</f>
        <v>iPad Pro4 128 WiFi</v>
      </c>
      <c r="B50" s="24" t="str">
        <f ca="1">IFERROR(__xludf.DUMMYFUNCTION("""COMPUTED_VALUE"""),"B")</f>
        <v>B</v>
      </c>
      <c r="C50" s="24" t="str">
        <f ca="1">IFERROR(__xludf.DUMMYFUNCTION("""COMPUTED_VALUE"""),"US")</f>
        <v>US</v>
      </c>
      <c r="D50" s="24">
        <f ca="1">IFERROR(__xludf.DUMMYFUNCTION("""COMPUTED_VALUE"""),359.1)</f>
        <v>359.1</v>
      </c>
    </row>
    <row r="51" spans="1:4" ht="16">
      <c r="A51" s="23" t="str">
        <f ca="1">IFERROR(__xludf.DUMMYFUNCTION("""COMPUTED_VALUE"""),"iPad Pro4 128 WiFi")</f>
        <v>iPad Pro4 128 WiFi</v>
      </c>
      <c r="B51" s="24" t="str">
        <f ca="1">IFERROR(__xludf.DUMMYFUNCTION("""COMPUTED_VALUE"""),"D")</f>
        <v>D</v>
      </c>
      <c r="C51" s="24" t="str">
        <f ca="1">IFERROR(__xludf.DUMMYFUNCTION("""COMPUTED_VALUE"""),"US")</f>
        <v>US</v>
      </c>
      <c r="D51" s="24">
        <f ca="1">IFERROR(__xludf.DUMMYFUNCTION("""COMPUTED_VALUE"""),286)</f>
        <v>286</v>
      </c>
    </row>
    <row r="52" spans="1:4" ht="16">
      <c r="A52" s="23" t="str">
        <f ca="1">IFERROR(__xludf.DUMMYFUNCTION("""COMPUTED_VALUE"""),"iPad Pro4 1T WiFi")</f>
        <v>iPad Pro4 1T WiFi</v>
      </c>
      <c r="B52" s="24" t="str">
        <f ca="1">IFERROR(__xludf.DUMMYFUNCTION("""COMPUTED_VALUE"""),"B")</f>
        <v>B</v>
      </c>
      <c r="C52" s="24" t="str">
        <f ca="1">IFERROR(__xludf.DUMMYFUNCTION("""COMPUTED_VALUE"""),"US")</f>
        <v>US</v>
      </c>
      <c r="D52" s="24">
        <f ca="1">IFERROR(__xludf.DUMMYFUNCTION("""COMPUTED_VALUE"""),575.4)</f>
        <v>575.4</v>
      </c>
    </row>
    <row r="53" spans="1:4" ht="16">
      <c r="A53" s="23" t="str">
        <f ca="1">IFERROR(__xludf.DUMMYFUNCTION("""COMPUTED_VALUE"""),"iPad Pro4 256 WiFi")</f>
        <v>iPad Pro4 256 WiFi</v>
      </c>
      <c r="B53" s="24" t="str">
        <f ca="1">IFERROR(__xludf.DUMMYFUNCTION("""COMPUTED_VALUE"""),"B")</f>
        <v>B</v>
      </c>
      <c r="C53" s="24" t="str">
        <f ca="1">IFERROR(__xludf.DUMMYFUNCTION("""COMPUTED_VALUE"""),"US")</f>
        <v>US</v>
      </c>
      <c r="D53" s="24">
        <f ca="1">IFERROR(__xludf.DUMMYFUNCTION("""COMPUTED_VALUE"""),403.2)</f>
        <v>403.2</v>
      </c>
    </row>
    <row r="54" spans="1:4" ht="16">
      <c r="A54" s="23" t="str">
        <f ca="1">IFERROR(__xludf.DUMMYFUNCTION("""COMPUTED_VALUE"""),"iPad Pro4 256 WiFi")</f>
        <v>iPad Pro4 256 WiFi</v>
      </c>
      <c r="B54" s="24" t="str">
        <f ca="1">IFERROR(__xludf.DUMMYFUNCTION("""COMPUTED_VALUE"""),"B")</f>
        <v>B</v>
      </c>
      <c r="C54" s="24" t="str">
        <f ca="1">IFERROR(__xludf.DUMMYFUNCTION("""COMPUTED_VALUE"""),"US")</f>
        <v>US</v>
      </c>
      <c r="D54" s="24">
        <f ca="1">IFERROR(__xludf.DUMMYFUNCTION("""COMPUTED_VALUE"""),552.3)</f>
        <v>552.29999999999995</v>
      </c>
    </row>
    <row r="55" spans="1:4" ht="16">
      <c r="A55" s="23" t="str">
        <f ca="1">IFERROR(__xludf.DUMMYFUNCTION("""COMPUTED_VALUE"""),"iPad Pro4 256 WiFi")</f>
        <v>iPad Pro4 256 WiFi</v>
      </c>
      <c r="B55" s="24" t="str">
        <f ca="1">IFERROR(__xludf.DUMMYFUNCTION("""COMPUTED_VALUE"""),"D")</f>
        <v>D</v>
      </c>
      <c r="C55" s="24" t="str">
        <f ca="1">IFERROR(__xludf.DUMMYFUNCTION("""COMPUTED_VALUE"""),"US")</f>
        <v>US</v>
      </c>
      <c r="D55" s="24">
        <f ca="1">IFERROR(__xludf.DUMMYFUNCTION("""COMPUTED_VALUE"""),307)</f>
        <v>307</v>
      </c>
    </row>
    <row r="56" spans="1:4" ht="16">
      <c r="A56" s="23" t="str">
        <f ca="1">IFERROR(__xludf.DUMMYFUNCTION("""COMPUTED_VALUE"""),"iPad Pro4 512 WiFi")</f>
        <v>iPad Pro4 512 WiFi</v>
      </c>
      <c r="B56" s="24" t="str">
        <f ca="1">IFERROR(__xludf.DUMMYFUNCTION("""COMPUTED_VALUE"""),"D")</f>
        <v>D</v>
      </c>
      <c r="C56" s="24" t="str">
        <f ca="1">IFERROR(__xludf.DUMMYFUNCTION("""COMPUTED_VALUE"""),"US")</f>
        <v>US</v>
      </c>
      <c r="D56" s="24">
        <f ca="1">IFERROR(__xludf.DUMMYFUNCTION("""COMPUTED_VALUE"""),393.75)</f>
        <v>393.75</v>
      </c>
    </row>
    <row r="57" spans="1:4" ht="16">
      <c r="A57" s="23" t="str">
        <f ca="1">IFERROR(__xludf.DUMMYFUNCTION("""COMPUTED_VALUE"""),"iPad Pro5 128 WiFi")</f>
        <v>iPad Pro5 128 WiFi</v>
      </c>
      <c r="B57" s="24" t="str">
        <f ca="1">IFERROR(__xludf.DUMMYFUNCTION("""COMPUTED_VALUE"""),"B")</f>
        <v>B</v>
      </c>
      <c r="C57" s="24" t="str">
        <f ca="1">IFERROR(__xludf.DUMMYFUNCTION("""COMPUTED_VALUE"""),"US")</f>
        <v>US</v>
      </c>
      <c r="D57" s="24">
        <f ca="1">IFERROR(__xludf.DUMMYFUNCTION("""COMPUTED_VALUE"""),504)</f>
        <v>504</v>
      </c>
    </row>
    <row r="58" spans="1:4" ht="16">
      <c r="A58" s="23" t="str">
        <f ca="1">IFERROR(__xludf.DUMMYFUNCTION("""COMPUTED_VALUE"""),"iPad Pro5 128 WiFi")</f>
        <v>iPad Pro5 128 WiFi</v>
      </c>
      <c r="B58" s="24" t="str">
        <f ca="1">IFERROR(__xludf.DUMMYFUNCTION("""COMPUTED_VALUE"""),"D")</f>
        <v>D</v>
      </c>
      <c r="C58" s="24" t="str">
        <f ca="1">IFERROR(__xludf.DUMMYFUNCTION("""COMPUTED_VALUE"""),"US")</f>
        <v>US</v>
      </c>
      <c r="D58" s="24">
        <f ca="1">IFERROR(__xludf.DUMMYFUNCTION("""COMPUTED_VALUE"""),393.75)</f>
        <v>393.75</v>
      </c>
    </row>
    <row r="59" spans="1:4" ht="16">
      <c r="A59" s="23" t="str">
        <f ca="1">IFERROR(__xludf.DUMMYFUNCTION("""COMPUTED_VALUE"""),"iPad Pro5 256 WiFi")</f>
        <v>iPad Pro5 256 WiFi</v>
      </c>
      <c r="B59" s="24" t="str">
        <f ca="1">IFERROR(__xludf.DUMMYFUNCTION("""COMPUTED_VALUE"""),"B")</f>
        <v>B</v>
      </c>
      <c r="C59" s="24" t="str">
        <f ca="1">IFERROR(__xludf.DUMMYFUNCTION("""COMPUTED_VALUE"""),"US")</f>
        <v>US</v>
      </c>
      <c r="D59" s="24">
        <f ca="1">IFERROR(__xludf.DUMMYFUNCTION("""COMPUTED_VALUE"""),544.95)</f>
        <v>544.95000000000005</v>
      </c>
    </row>
    <row r="60" spans="1:4" ht="16">
      <c r="A60" s="23" t="str">
        <f ca="1">IFERROR(__xludf.DUMMYFUNCTION("""COMPUTED_VALUE"""),"iPad Pro5 256 WiFi")</f>
        <v>iPad Pro5 256 WiFi</v>
      </c>
      <c r="B60" s="24" t="str">
        <f ca="1">IFERROR(__xludf.DUMMYFUNCTION("""COMPUTED_VALUE"""),"D")</f>
        <v>D</v>
      </c>
      <c r="C60" s="24" t="str">
        <f ca="1">IFERROR(__xludf.DUMMYFUNCTION("""COMPUTED_VALUE"""),"US")</f>
        <v>US</v>
      </c>
      <c r="D60" s="24">
        <f ca="1">IFERROR(__xludf.DUMMYFUNCTION("""COMPUTED_VALUE"""),388.5)</f>
        <v>388.5</v>
      </c>
    </row>
    <row r="61" spans="1:4" ht="16">
      <c r="A61" s="23" t="str">
        <f ca="1">IFERROR(__xludf.DUMMYFUNCTION("""COMPUTED_VALUE"""),"iPad Pro5 512 WiFi")</f>
        <v>iPad Pro5 512 WiFi</v>
      </c>
      <c r="B61" s="24" t="str">
        <f ca="1">IFERROR(__xludf.DUMMYFUNCTION("""COMPUTED_VALUE"""),"B")</f>
        <v>B</v>
      </c>
      <c r="C61" s="24" t="str">
        <f ca="1">IFERROR(__xludf.DUMMYFUNCTION("""COMPUTED_VALUE"""),"US")</f>
        <v>US</v>
      </c>
      <c r="D61" s="24">
        <f ca="1">IFERROR(__xludf.DUMMYFUNCTION("""COMPUTED_VALUE"""),533.4)</f>
        <v>533.4</v>
      </c>
    </row>
    <row r="62" spans="1:4" ht="16">
      <c r="A62" s="23" t="str">
        <f ca="1">IFERROR(__xludf.DUMMYFUNCTION("""COMPUTED_VALUE"""),"iPad Pro6 128 WiFI")</f>
        <v>iPad Pro6 128 WiFI</v>
      </c>
      <c r="B62" s="24" t="str">
        <f ca="1">IFERROR(__xludf.DUMMYFUNCTION("""COMPUTED_VALUE"""),"B")</f>
        <v>B</v>
      </c>
      <c r="C62" s="24" t="str">
        <f ca="1">IFERROR(__xludf.DUMMYFUNCTION("""COMPUTED_VALUE"""),"US")</f>
        <v>US</v>
      </c>
      <c r="D62" s="24">
        <f ca="1">IFERROR(__xludf.DUMMYFUNCTION("""COMPUTED_VALUE"""),526.05)</f>
        <v>526.04999999999995</v>
      </c>
    </row>
    <row r="63" spans="1:4" ht="16">
      <c r="A63" s="23" t="str">
        <f ca="1">IFERROR(__xludf.DUMMYFUNCTION("""COMPUTED_VALUE"""),"iPad Pro6 128 WiFI")</f>
        <v>iPad Pro6 128 WiFI</v>
      </c>
      <c r="B63" s="24" t="str">
        <f ca="1">IFERROR(__xludf.DUMMYFUNCTION("""COMPUTED_VALUE"""),"D")</f>
        <v>D</v>
      </c>
      <c r="C63" s="24" t="str">
        <f ca="1">IFERROR(__xludf.DUMMYFUNCTION("""COMPUTED_VALUE"""),"US")</f>
        <v>US</v>
      </c>
      <c r="D63" s="24">
        <f ca="1">IFERROR(__xludf.DUMMYFUNCTION("""COMPUTED_VALUE"""),506.1)</f>
        <v>506.1</v>
      </c>
    </row>
    <row r="64" spans="1:4" ht="16">
      <c r="A64" s="23" t="str">
        <f ca="1">IFERROR(__xludf.DUMMYFUNCTION("""COMPUTED_VALUE"""),"iPad Pro6 256 WiFi")</f>
        <v>iPad Pro6 256 WiFi</v>
      </c>
      <c r="B64" s="24" t="str">
        <f ca="1">IFERROR(__xludf.DUMMYFUNCTION("""COMPUTED_VALUE"""),"B")</f>
        <v>B</v>
      </c>
      <c r="C64" s="24" t="str">
        <f ca="1">IFERROR(__xludf.DUMMYFUNCTION("""COMPUTED_VALUE"""),"US")</f>
        <v>US</v>
      </c>
      <c r="D64" s="24">
        <f ca="1">IFERROR(__xludf.DUMMYFUNCTION("""COMPUTED_VALUE"""),756)</f>
        <v>756</v>
      </c>
    </row>
    <row r="65" spans="1:4" ht="16">
      <c r="A65" s="23" t="str">
        <f ca="1">IFERROR(__xludf.DUMMYFUNCTION("""COMPUTED_VALUE"""),"iPad Pro6 256 WiFi")</f>
        <v>iPad Pro6 256 WiFi</v>
      </c>
      <c r="B65" s="24" t="str">
        <f ca="1">IFERROR(__xludf.DUMMYFUNCTION("""COMPUTED_VALUE"""),"D")</f>
        <v>D</v>
      </c>
      <c r="C65" s="24" t="str">
        <f ca="1">IFERROR(__xludf.DUMMYFUNCTION("""COMPUTED_VALUE"""),"US")</f>
        <v>US</v>
      </c>
      <c r="D65" s="24">
        <f ca="1">IFERROR(__xludf.DUMMYFUNCTION("""COMPUTED_VALUE"""),657.3)</f>
        <v>657.3</v>
      </c>
    </row>
    <row r="66" spans="1:4" ht="16">
      <c r="A66" s="23" t="str">
        <f ca="1">IFERROR(__xludf.DUMMYFUNCTION("""COMPUTED_VALUE"""),"iPad Pro6 512 WiFi")</f>
        <v>iPad Pro6 512 WiFi</v>
      </c>
      <c r="B66" s="24" t="str">
        <f ca="1">IFERROR(__xludf.DUMMYFUNCTION("""COMPUTED_VALUE"""),"B")</f>
        <v>B</v>
      </c>
      <c r="C66" s="24" t="str">
        <f ca="1">IFERROR(__xludf.DUMMYFUNCTION("""COMPUTED_VALUE"""),"US")</f>
        <v>US</v>
      </c>
      <c r="D66" s="24">
        <f ca="1">IFERROR(__xludf.DUMMYFUNCTION("""COMPUTED_VALUE"""),728.7)</f>
        <v>728.7</v>
      </c>
    </row>
    <row r="67" spans="1:4" ht="16">
      <c r="A67" s="23" t="str">
        <f ca="1">IFERROR(__xludf.DUMMYFUNCTION("""COMPUTED_VALUE"""),"iPad Pro6 512 WiFi")</f>
        <v>iPad Pro6 512 WiFi</v>
      </c>
      <c r="B67" s="24" t="str">
        <f ca="1">IFERROR(__xludf.DUMMYFUNCTION("""COMPUTED_VALUE"""),"B")</f>
        <v>B</v>
      </c>
      <c r="C67" s="24" t="str">
        <f ca="1">IFERROR(__xludf.DUMMYFUNCTION("""COMPUTED_VALUE"""),"US")</f>
        <v>US</v>
      </c>
      <c r="D67" s="24">
        <f ca="1">IFERROR(__xludf.DUMMYFUNCTION("""COMPUTED_VALUE"""),912.45)</f>
        <v>912.45</v>
      </c>
    </row>
    <row r="68" spans="1:4" ht="16">
      <c r="A68" s="23" t="str">
        <f ca="1">IFERROR(__xludf.DUMMYFUNCTION("""COMPUTED_VALUE"""),"iPad10 256 WiFi")</f>
        <v>iPad10 256 WiFi</v>
      </c>
      <c r="B68" s="24" t="str">
        <f ca="1">IFERROR(__xludf.DUMMYFUNCTION("""COMPUTED_VALUE"""),"B")</f>
        <v>B</v>
      </c>
      <c r="C68" s="24" t="str">
        <f ca="1">IFERROR(__xludf.DUMMYFUNCTION("""COMPUTED_VALUE"""),"US")</f>
        <v>US</v>
      </c>
      <c r="D68" s="24">
        <f ca="1">IFERROR(__xludf.DUMMYFUNCTION("""COMPUTED_VALUE"""),324.45)</f>
        <v>324.45</v>
      </c>
    </row>
    <row r="69" spans="1:4" ht="16">
      <c r="A69" s="23" t="str">
        <f ca="1">IFERROR(__xludf.DUMMYFUNCTION("""COMPUTED_VALUE"""),"iPad10 64 WiFi")</f>
        <v>iPad10 64 WiFi</v>
      </c>
      <c r="B69" s="24" t="str">
        <f ca="1">IFERROR(__xludf.DUMMYFUNCTION("""COMPUTED_VALUE"""),"A+")</f>
        <v>A+</v>
      </c>
      <c r="C69" s="24" t="str">
        <f ca="1">IFERROR(__xludf.DUMMYFUNCTION("""COMPUTED_VALUE"""),"US")</f>
        <v>US</v>
      </c>
      <c r="D69" s="24">
        <f ca="1">IFERROR(__xludf.DUMMYFUNCTION("""COMPUTED_VALUE"""),197)</f>
        <v>197</v>
      </c>
    </row>
    <row r="70" spans="1:4" ht="16">
      <c r="A70" s="23" t="str">
        <f ca="1">IFERROR(__xludf.DUMMYFUNCTION("""COMPUTED_VALUE"""),"iPad10 64 WiFi")</f>
        <v>iPad10 64 WiFi</v>
      </c>
      <c r="B70" s="24" t="str">
        <f ca="1">IFERROR(__xludf.DUMMYFUNCTION("""COMPUTED_VALUE"""),"B")</f>
        <v>B</v>
      </c>
      <c r="C70" s="24" t="str">
        <f ca="1">IFERROR(__xludf.DUMMYFUNCTION("""COMPUTED_VALUE"""),"US")</f>
        <v>US</v>
      </c>
      <c r="D70" s="24">
        <f ca="1">IFERROR(__xludf.DUMMYFUNCTION("""COMPUTED_VALUE"""),241)</f>
        <v>241</v>
      </c>
    </row>
    <row r="71" spans="1:4" ht="16">
      <c r="A71" s="23" t="str">
        <f ca="1">IFERROR(__xludf.DUMMYFUNCTION("""COMPUTED_VALUE"""),"iPad10 64 WiFi")</f>
        <v>iPad10 64 WiFi</v>
      </c>
      <c r="B71" s="24" t="str">
        <f ca="1">IFERROR(__xludf.DUMMYFUNCTION("""COMPUTED_VALUE"""),"B")</f>
        <v>B</v>
      </c>
      <c r="C71" s="24" t="str">
        <f ca="1">IFERROR(__xludf.DUMMYFUNCTION("""COMPUTED_VALUE"""),"US")</f>
        <v>US</v>
      </c>
      <c r="D71" s="24">
        <f ca="1">IFERROR(__xludf.DUMMYFUNCTION("""COMPUTED_VALUE"""),186)</f>
        <v>186</v>
      </c>
    </row>
    <row r="72" spans="1:4" ht="16">
      <c r="A72" s="23" t="str">
        <f ca="1">IFERROR(__xludf.DUMMYFUNCTION("""COMPUTED_VALUE"""),"iPad10 64 WiFi")</f>
        <v>iPad10 64 WiFi</v>
      </c>
      <c r="B72" s="24" t="str">
        <f ca="1">IFERROR(__xludf.DUMMYFUNCTION("""COMPUTED_VALUE"""),"D")</f>
        <v>D</v>
      </c>
      <c r="C72" s="24" t="str">
        <f ca="1">IFERROR(__xludf.DUMMYFUNCTION("""COMPUTED_VALUE"""),"US")</f>
        <v>US</v>
      </c>
      <c r="D72" s="24">
        <f ca="1">IFERROR(__xludf.DUMMYFUNCTION("""COMPUTED_VALUE"""),222)</f>
        <v>222</v>
      </c>
    </row>
    <row r="73" spans="1:4" ht="16">
      <c r="A73" s="23" t="str">
        <f ca="1">IFERROR(__xludf.DUMMYFUNCTION("""COMPUTED_VALUE"""),"iPad10 64 WiFi")</f>
        <v>iPad10 64 WiFi</v>
      </c>
      <c r="B73" s="24" t="str">
        <f ca="1">IFERROR(__xludf.DUMMYFUNCTION("""COMPUTED_VALUE"""),"D")</f>
        <v>D</v>
      </c>
      <c r="C73" s="24" t="str">
        <f ca="1">IFERROR(__xludf.DUMMYFUNCTION("""COMPUTED_VALUE"""),"US")</f>
        <v>US</v>
      </c>
      <c r="D73" s="24">
        <f ca="1">IFERROR(__xludf.DUMMYFUNCTION("""COMPUTED_VALUE"""),153)</f>
        <v>153</v>
      </c>
    </row>
    <row r="74" spans="1:4" ht="16">
      <c r="A74" s="23" t="str">
        <f ca="1">IFERROR(__xludf.DUMMYFUNCTION("""COMPUTED_VALUE"""),"iPad10 64 WiFi")</f>
        <v>iPad10 64 WiFi</v>
      </c>
      <c r="B74" s="24" t="str">
        <f ca="1">IFERROR(__xludf.DUMMYFUNCTION("""COMPUTED_VALUE"""),"D")</f>
        <v>D</v>
      </c>
      <c r="C74" s="24" t="str">
        <f ca="1">IFERROR(__xludf.DUMMYFUNCTION("""COMPUTED_VALUE"""),"US")</f>
        <v>US</v>
      </c>
      <c r="D74" s="24">
        <f ca="1">IFERROR(__xludf.DUMMYFUNCTION("""COMPUTED_VALUE"""),236)</f>
        <v>236</v>
      </c>
    </row>
    <row r="75" spans="1:4" ht="16">
      <c r="A75" s="23" t="str">
        <f ca="1">IFERROR(__xludf.DUMMYFUNCTION("""COMPUTED_VALUE"""),"iPad10 64 WiFi")</f>
        <v>iPad10 64 WiFi</v>
      </c>
      <c r="B75" s="24" t="str">
        <f ca="1">IFERROR(__xludf.DUMMYFUNCTION("""COMPUTED_VALUE"""),"D")</f>
        <v>D</v>
      </c>
      <c r="C75" s="24" t="str">
        <f ca="1">IFERROR(__xludf.DUMMYFUNCTION("""COMPUTED_VALUE"""),"US")</f>
        <v>US</v>
      </c>
      <c r="D75" s="24">
        <f ca="1">IFERROR(__xludf.DUMMYFUNCTION("""COMPUTED_VALUE"""),149)</f>
        <v>149</v>
      </c>
    </row>
    <row r="76" spans="1:4" ht="16">
      <c r="A76" s="23" t="str">
        <f ca="1">IFERROR(__xludf.DUMMYFUNCTION("""COMPUTED_VALUE"""),"iPad6 128 WiFi")</f>
        <v>iPad6 128 WiFi</v>
      </c>
      <c r="B76" s="24" t="str">
        <f ca="1">IFERROR(__xludf.DUMMYFUNCTION("""COMPUTED_VALUE"""),"B")</f>
        <v>B</v>
      </c>
      <c r="C76" s="24" t="str">
        <f ca="1">IFERROR(__xludf.DUMMYFUNCTION("""COMPUTED_VALUE"""),"US")</f>
        <v>US</v>
      </c>
      <c r="D76" s="24">
        <f ca="1">IFERROR(__xludf.DUMMYFUNCTION("""COMPUTED_VALUE"""),125)</f>
        <v>125</v>
      </c>
    </row>
    <row r="77" spans="1:4" ht="16">
      <c r="A77" s="23" t="str">
        <f ca="1">IFERROR(__xludf.DUMMYFUNCTION("""COMPUTED_VALUE"""),"iPad6 32 WiFi")</f>
        <v>iPad6 32 WiFi</v>
      </c>
      <c r="B77" s="24" t="str">
        <f ca="1">IFERROR(__xludf.DUMMYFUNCTION("""COMPUTED_VALUE"""),"B")</f>
        <v>B</v>
      </c>
      <c r="C77" s="24" t="str">
        <f ca="1">IFERROR(__xludf.DUMMYFUNCTION("""COMPUTED_VALUE"""),"US")</f>
        <v>US</v>
      </c>
      <c r="D77" s="24">
        <f ca="1">IFERROR(__xludf.DUMMYFUNCTION("""COMPUTED_VALUE"""),84)</f>
        <v>84</v>
      </c>
    </row>
    <row r="78" spans="1:4" ht="16">
      <c r="A78" s="23"/>
      <c r="B78" s="23"/>
      <c r="C78" s="23"/>
      <c r="D78" s="23"/>
    </row>
    <row r="79" spans="1:4" ht="16">
      <c r="A79" s="23"/>
      <c r="B79" s="23"/>
      <c r="C79" s="23"/>
      <c r="D79" s="23"/>
    </row>
    <row r="80" spans="1:4" ht="16">
      <c r="A80" s="23"/>
      <c r="B80" s="23"/>
      <c r="C80" s="23"/>
      <c r="D80" s="23"/>
    </row>
    <row r="81" spans="1:4" ht="16">
      <c r="A81" s="23"/>
      <c r="B81" s="23"/>
      <c r="C81" s="23"/>
      <c r="D81" s="23"/>
    </row>
    <row r="82" spans="1:4" ht="16">
      <c r="A82" s="23"/>
      <c r="B82" s="23"/>
      <c r="C82" s="23"/>
      <c r="D82" s="23"/>
    </row>
    <row r="83" spans="1:4" ht="16">
      <c r="A83" s="23"/>
      <c r="B83" s="23"/>
      <c r="C83" s="23"/>
      <c r="D83" s="23"/>
    </row>
    <row r="84" spans="1:4" ht="16">
      <c r="A84" s="23"/>
      <c r="B84" s="23"/>
      <c r="C84" s="23"/>
      <c r="D84" s="23"/>
    </row>
    <row r="85" spans="1:4" ht="16">
      <c r="A85" s="23"/>
      <c r="B85" s="23"/>
      <c r="C85" s="23"/>
      <c r="D85" s="23"/>
    </row>
    <row r="86" spans="1:4" ht="16">
      <c r="A86" s="23"/>
      <c r="B86" s="23"/>
      <c r="C86" s="23"/>
      <c r="D86" s="23"/>
    </row>
    <row r="87" spans="1:4" ht="16">
      <c r="A87" s="23"/>
      <c r="B87" s="23"/>
      <c r="C87" s="23"/>
      <c r="D87" s="23"/>
    </row>
    <row r="88" spans="1:4" ht="16">
      <c r="A88" s="23"/>
      <c r="B88" s="23"/>
      <c r="C88" s="23"/>
      <c r="D88" s="23"/>
    </row>
    <row r="89" spans="1:4" ht="16">
      <c r="A89" s="23"/>
      <c r="B89" s="23"/>
      <c r="C89" s="23"/>
      <c r="D89" s="23"/>
    </row>
    <row r="90" spans="1:4" ht="16">
      <c r="A90" s="23"/>
      <c r="B90" s="23"/>
      <c r="C90" s="23"/>
      <c r="D90" s="23"/>
    </row>
    <row r="91" spans="1:4" ht="16">
      <c r="A91" s="23"/>
      <c r="B91" s="23"/>
      <c r="C91" s="23"/>
      <c r="D91" s="23"/>
    </row>
    <row r="92" spans="1:4" ht="16">
      <c r="A92" s="23"/>
      <c r="B92" s="23"/>
      <c r="C92" s="23"/>
      <c r="D92" s="23"/>
    </row>
    <row r="93" spans="1:4" ht="16">
      <c r="A93" s="23"/>
      <c r="B93" s="23"/>
      <c r="C93" s="23"/>
      <c r="D93" s="23"/>
    </row>
    <row r="94" spans="1:4" ht="16">
      <c r="A94" s="23"/>
      <c r="B94" s="23"/>
      <c r="C94" s="23"/>
      <c r="D94" s="23"/>
    </row>
    <row r="95" spans="1:4" ht="16">
      <c r="A95" s="23"/>
      <c r="B95" s="23"/>
      <c r="C95" s="23"/>
      <c r="D95" s="23"/>
    </row>
    <row r="96" spans="1:4" ht="16">
      <c r="A96" s="23"/>
      <c r="B96" s="23"/>
      <c r="C96" s="23"/>
      <c r="D96" s="23"/>
    </row>
    <row r="97" spans="1:4" ht="16">
      <c r="A97" s="23"/>
      <c r="B97" s="23"/>
      <c r="C97" s="23"/>
      <c r="D97" s="23"/>
    </row>
    <row r="98" spans="1:4" ht="16">
      <c r="A98" s="23"/>
      <c r="B98" s="23"/>
      <c r="C98" s="23"/>
      <c r="D98" s="23"/>
    </row>
    <row r="99" spans="1:4" ht="16">
      <c r="A99" s="23"/>
      <c r="B99" s="23"/>
      <c r="C99" s="23"/>
      <c r="D99" s="23"/>
    </row>
    <row r="100" spans="1:4" ht="16">
      <c r="A100" s="23"/>
      <c r="B100" s="23"/>
      <c r="C100" s="23"/>
      <c r="D100" s="23"/>
    </row>
    <row r="101" spans="1:4" ht="16">
      <c r="A101" s="23"/>
      <c r="B101" s="23"/>
      <c r="C101" s="23"/>
      <c r="D101" s="23"/>
    </row>
    <row r="102" spans="1:4" ht="16">
      <c r="A102" s="23"/>
      <c r="B102" s="23"/>
      <c r="C102" s="23"/>
      <c r="D102" s="23"/>
    </row>
    <row r="103" spans="1:4" ht="16">
      <c r="A103" s="23"/>
      <c r="B103" s="23"/>
      <c r="C103" s="23"/>
      <c r="D103" s="23"/>
    </row>
    <row r="104" spans="1:4" ht="16">
      <c r="A104" s="23"/>
      <c r="B104" s="23"/>
      <c r="C104" s="23"/>
      <c r="D104" s="23"/>
    </row>
    <row r="105" spans="1:4" ht="16">
      <c r="A105" s="23"/>
      <c r="B105" s="23"/>
      <c r="C105" s="23"/>
      <c r="D105" s="23"/>
    </row>
    <row r="106" spans="1:4" ht="16">
      <c r="A106" s="23"/>
      <c r="B106" s="23"/>
      <c r="C106" s="23"/>
      <c r="D106" s="23"/>
    </row>
    <row r="107" spans="1:4" ht="16">
      <c r="A107" s="23"/>
      <c r="B107" s="23"/>
      <c r="C107" s="23"/>
      <c r="D107" s="23"/>
    </row>
    <row r="108" spans="1:4" ht="16">
      <c r="A108" s="23"/>
      <c r="B108" s="23"/>
      <c r="C108" s="23"/>
      <c r="D108" s="23"/>
    </row>
    <row r="109" spans="1:4" ht="16">
      <c r="A109" s="23"/>
      <c r="B109" s="23"/>
      <c r="C109" s="23"/>
      <c r="D109" s="23"/>
    </row>
    <row r="110" spans="1:4" ht="16">
      <c r="A110" s="23"/>
      <c r="B110" s="23"/>
      <c r="C110" s="23"/>
      <c r="D110" s="23"/>
    </row>
    <row r="111" spans="1:4" ht="16">
      <c r="A111" s="23"/>
      <c r="B111" s="23"/>
      <c r="C111" s="23"/>
      <c r="D111" s="23"/>
    </row>
    <row r="112" spans="1:4" ht="16">
      <c r="A112" s="23"/>
      <c r="B112" s="23"/>
      <c r="C112" s="23"/>
      <c r="D112" s="23"/>
    </row>
    <row r="113" spans="1:4" ht="16">
      <c r="A113" s="23"/>
      <c r="B113" s="23"/>
      <c r="C113" s="23"/>
      <c r="D113" s="23"/>
    </row>
    <row r="114" spans="1:4" ht="16">
      <c r="A114" s="23"/>
      <c r="B114" s="23"/>
      <c r="C114" s="23"/>
      <c r="D114" s="23"/>
    </row>
    <row r="115" spans="1:4" ht="16">
      <c r="A115" s="23"/>
      <c r="B115" s="23"/>
      <c r="C115" s="23"/>
      <c r="D115" s="23"/>
    </row>
    <row r="116" spans="1:4" ht="16">
      <c r="A116" s="23"/>
      <c r="B116" s="23"/>
      <c r="C116" s="23"/>
      <c r="D116" s="23"/>
    </row>
    <row r="117" spans="1:4" ht="16">
      <c r="A117" s="23"/>
      <c r="B117" s="23"/>
      <c r="C117" s="23"/>
      <c r="D117" s="23"/>
    </row>
    <row r="118" spans="1:4" ht="16">
      <c r="A118" s="23"/>
      <c r="B118" s="23"/>
      <c r="C118" s="23"/>
      <c r="D118" s="23"/>
    </row>
    <row r="119" spans="1:4" ht="16">
      <c r="A119" s="23"/>
      <c r="B119" s="23"/>
      <c r="C119" s="23"/>
      <c r="D119" s="23"/>
    </row>
    <row r="120" spans="1:4" ht="16">
      <c r="A120" s="23"/>
      <c r="B120" s="23"/>
      <c r="C120" s="23"/>
      <c r="D120" s="23"/>
    </row>
    <row r="121" spans="1:4" ht="16">
      <c r="A121" s="23"/>
      <c r="B121" s="23"/>
      <c r="C121" s="23"/>
      <c r="D121" s="23"/>
    </row>
    <row r="122" spans="1:4" ht="16">
      <c r="A122" s="23"/>
      <c r="B122" s="23"/>
      <c r="C122" s="23"/>
      <c r="D122" s="23"/>
    </row>
    <row r="123" spans="1:4" ht="16">
      <c r="A123" s="23"/>
      <c r="B123" s="23"/>
      <c r="C123" s="23"/>
      <c r="D123" s="23"/>
    </row>
    <row r="124" spans="1:4" ht="16">
      <c r="A124" s="23"/>
      <c r="B124" s="23"/>
      <c r="C124" s="23"/>
      <c r="D124" s="23"/>
    </row>
    <row r="125" spans="1:4" ht="16">
      <c r="A125" s="23"/>
      <c r="B125" s="23"/>
      <c r="C125" s="23"/>
      <c r="D125" s="23"/>
    </row>
    <row r="126" spans="1:4" ht="16">
      <c r="A126" s="23"/>
      <c r="B126" s="23"/>
      <c r="C126" s="23"/>
      <c r="D126" s="23"/>
    </row>
    <row r="127" spans="1:4" ht="16">
      <c r="A127" s="23"/>
      <c r="B127" s="23"/>
      <c r="C127" s="23"/>
      <c r="D127" s="23"/>
    </row>
    <row r="128" spans="1:4" ht="16">
      <c r="A128" s="23"/>
      <c r="B128" s="23"/>
      <c r="C128" s="23"/>
      <c r="D128" s="23"/>
    </row>
    <row r="129" spans="1:4" ht="16">
      <c r="A129" s="23"/>
      <c r="B129" s="23"/>
      <c r="C129" s="23"/>
      <c r="D129" s="23"/>
    </row>
    <row r="130" spans="1:4" ht="16">
      <c r="A130" s="23"/>
      <c r="B130" s="23"/>
      <c r="C130" s="23"/>
      <c r="D130" s="23"/>
    </row>
    <row r="131" spans="1:4" ht="16">
      <c r="A131" s="23"/>
      <c r="B131" s="23"/>
      <c r="C131" s="23"/>
      <c r="D131" s="23"/>
    </row>
    <row r="132" spans="1:4" ht="16">
      <c r="A132" s="23"/>
      <c r="B132" s="23"/>
      <c r="C132" s="23"/>
      <c r="D132" s="23"/>
    </row>
    <row r="133" spans="1:4" ht="16">
      <c r="A133" s="23"/>
      <c r="B133" s="23"/>
      <c r="C133" s="23"/>
      <c r="D133" s="23"/>
    </row>
    <row r="134" spans="1:4" ht="16">
      <c r="A134" s="23"/>
      <c r="B134" s="23"/>
      <c r="C134" s="23"/>
      <c r="D134" s="23"/>
    </row>
    <row r="135" spans="1:4" ht="16">
      <c r="A135" s="23"/>
      <c r="B135" s="23"/>
      <c r="C135" s="23"/>
      <c r="D135" s="23"/>
    </row>
    <row r="136" spans="1:4" ht="16">
      <c r="A136" s="23"/>
      <c r="B136" s="23"/>
      <c r="C136" s="23"/>
      <c r="D136" s="23"/>
    </row>
    <row r="137" spans="1:4" ht="16">
      <c r="A137" s="23"/>
      <c r="B137" s="23"/>
      <c r="C137" s="23"/>
      <c r="D137" s="23"/>
    </row>
    <row r="138" spans="1:4" ht="16">
      <c r="A138" s="23"/>
      <c r="B138" s="23"/>
      <c r="C138" s="23"/>
      <c r="D138" s="23"/>
    </row>
    <row r="139" spans="1:4" ht="16">
      <c r="A139" s="23"/>
      <c r="B139" s="23"/>
      <c r="C139" s="23"/>
      <c r="D139" s="23"/>
    </row>
    <row r="140" spans="1:4" ht="16">
      <c r="A140" s="23"/>
      <c r="B140" s="23"/>
      <c r="C140" s="23"/>
      <c r="D140" s="23"/>
    </row>
    <row r="141" spans="1:4" ht="16">
      <c r="A141" s="23"/>
      <c r="B141" s="23"/>
      <c r="C141" s="23"/>
      <c r="D141" s="23"/>
    </row>
    <row r="142" spans="1:4" ht="16">
      <c r="A142" s="23"/>
      <c r="B142" s="23"/>
      <c r="C142" s="23"/>
      <c r="D142" s="23"/>
    </row>
    <row r="143" spans="1:4" ht="16">
      <c r="A143" s="23"/>
      <c r="B143" s="23"/>
      <c r="C143" s="23"/>
      <c r="D143" s="23"/>
    </row>
    <row r="144" spans="1:4" ht="16">
      <c r="A144" s="23"/>
      <c r="B144" s="23"/>
      <c r="C144" s="23"/>
      <c r="D144" s="23"/>
    </row>
    <row r="145" spans="1:4" ht="16">
      <c r="A145" s="23"/>
      <c r="B145" s="23"/>
      <c r="C145" s="23"/>
      <c r="D145" s="23"/>
    </row>
    <row r="146" spans="1:4" ht="16">
      <c r="A146" s="23"/>
      <c r="B146" s="23"/>
      <c r="C146" s="23"/>
      <c r="D146" s="23"/>
    </row>
    <row r="147" spans="1:4" ht="16">
      <c r="A147" s="23"/>
      <c r="B147" s="23"/>
      <c r="C147" s="23"/>
      <c r="D147" s="23"/>
    </row>
    <row r="148" spans="1:4" ht="16">
      <c r="A148" s="23"/>
      <c r="B148" s="23"/>
      <c r="C148" s="23"/>
      <c r="D148" s="23"/>
    </row>
    <row r="149" spans="1:4" ht="16">
      <c r="A149" s="23"/>
      <c r="B149" s="23"/>
      <c r="C149" s="23"/>
      <c r="D149" s="23"/>
    </row>
    <row r="150" spans="1:4" ht="16">
      <c r="A150" s="23"/>
      <c r="B150" s="23"/>
      <c r="C150" s="23"/>
      <c r="D150" s="23"/>
    </row>
    <row r="151" spans="1:4" ht="16">
      <c r="A151" s="23"/>
      <c r="B151" s="23"/>
      <c r="C151" s="23"/>
      <c r="D151" s="23"/>
    </row>
    <row r="152" spans="1:4" ht="16">
      <c r="A152" s="23"/>
      <c r="B152" s="23"/>
      <c r="C152" s="23"/>
      <c r="D152" s="23"/>
    </row>
    <row r="153" spans="1:4" ht="16">
      <c r="A153" s="23"/>
      <c r="B153" s="23"/>
      <c r="C153" s="23"/>
      <c r="D153" s="23"/>
    </row>
    <row r="154" spans="1:4" ht="16">
      <c r="A154" s="23"/>
      <c r="B154" s="23"/>
      <c r="C154" s="23"/>
      <c r="D154" s="23"/>
    </row>
    <row r="155" spans="1:4" ht="16">
      <c r="A155" s="23"/>
      <c r="B155" s="23"/>
      <c r="C155" s="23"/>
      <c r="D155" s="23"/>
    </row>
    <row r="156" spans="1:4" ht="16">
      <c r="A156" s="23"/>
      <c r="B156" s="23"/>
      <c r="C156" s="23"/>
      <c r="D156" s="23"/>
    </row>
    <row r="157" spans="1:4" ht="16">
      <c r="A157" s="23"/>
      <c r="B157" s="23"/>
      <c r="C157" s="23"/>
      <c r="D157" s="23"/>
    </row>
    <row r="158" spans="1:4" ht="16">
      <c r="A158" s="23"/>
      <c r="B158" s="23"/>
      <c r="C158" s="23"/>
      <c r="D158" s="23"/>
    </row>
    <row r="159" spans="1:4" ht="16">
      <c r="A159" s="23"/>
      <c r="B159" s="23"/>
      <c r="C159" s="23"/>
      <c r="D159" s="23"/>
    </row>
    <row r="160" spans="1:4" ht="16">
      <c r="A160" s="23"/>
      <c r="B160" s="23"/>
      <c r="C160" s="23"/>
      <c r="D160" s="23"/>
    </row>
    <row r="161" spans="1:4" ht="16">
      <c r="A161" s="23"/>
      <c r="B161" s="23"/>
      <c r="C161" s="23"/>
      <c r="D161" s="23"/>
    </row>
    <row r="162" spans="1:4" ht="16">
      <c r="A162" s="23"/>
      <c r="B162" s="23"/>
      <c r="C162" s="23"/>
      <c r="D162" s="23"/>
    </row>
    <row r="163" spans="1:4" ht="16">
      <c r="A163" s="23"/>
      <c r="B163" s="23"/>
      <c r="C163" s="23"/>
      <c r="D163" s="23"/>
    </row>
    <row r="164" spans="1:4" ht="16">
      <c r="A164" s="23"/>
      <c r="B164" s="23"/>
      <c r="C164" s="23"/>
      <c r="D164" s="23"/>
    </row>
    <row r="165" spans="1:4" ht="16">
      <c r="A165" s="23"/>
      <c r="B165" s="23"/>
      <c r="C165" s="23"/>
      <c r="D165" s="23"/>
    </row>
    <row r="166" spans="1:4" ht="16">
      <c r="A166" s="23"/>
      <c r="B166" s="23"/>
      <c r="C166" s="23"/>
      <c r="D166" s="23"/>
    </row>
    <row r="167" spans="1:4" ht="16">
      <c r="A167" s="23"/>
      <c r="B167" s="23"/>
      <c r="C167" s="23"/>
      <c r="D167" s="23"/>
    </row>
    <row r="168" spans="1:4" ht="16">
      <c r="A168" s="23"/>
      <c r="B168" s="23"/>
      <c r="C168" s="23"/>
      <c r="D168" s="23"/>
    </row>
    <row r="169" spans="1:4" ht="16">
      <c r="A169" s="23"/>
      <c r="B169" s="23"/>
      <c r="C169" s="23"/>
      <c r="D169" s="23"/>
    </row>
    <row r="170" spans="1:4" ht="16">
      <c r="A170" s="23"/>
      <c r="B170" s="23"/>
      <c r="C170" s="23"/>
      <c r="D170" s="23"/>
    </row>
    <row r="171" spans="1:4" ht="16">
      <c r="A171" s="23"/>
      <c r="B171" s="23"/>
      <c r="C171" s="23"/>
      <c r="D171" s="23"/>
    </row>
    <row r="172" spans="1:4" ht="16">
      <c r="A172" s="23"/>
      <c r="B172" s="23"/>
      <c r="C172" s="23"/>
      <c r="D172" s="23"/>
    </row>
    <row r="173" spans="1:4" ht="16">
      <c r="A173" s="23"/>
      <c r="B173" s="23"/>
      <c r="C173" s="23"/>
      <c r="D173" s="23"/>
    </row>
    <row r="174" spans="1:4" ht="16">
      <c r="A174" s="23"/>
      <c r="B174" s="23"/>
      <c r="C174" s="23"/>
      <c r="D174" s="23"/>
    </row>
    <row r="175" spans="1:4" ht="16">
      <c r="A175" s="23"/>
      <c r="B175" s="23"/>
      <c r="C175" s="23"/>
      <c r="D175" s="23"/>
    </row>
    <row r="176" spans="1:4" ht="16">
      <c r="A176" s="23"/>
      <c r="B176" s="23"/>
      <c r="C176" s="23"/>
      <c r="D176" s="23"/>
    </row>
    <row r="177" spans="1:4" ht="16">
      <c r="A177" s="23"/>
      <c r="B177" s="23"/>
      <c r="C177" s="23"/>
      <c r="D177" s="23"/>
    </row>
    <row r="178" spans="1:4" ht="16">
      <c r="A178" s="23"/>
      <c r="B178" s="23"/>
      <c r="C178" s="23"/>
      <c r="D178" s="23"/>
    </row>
    <row r="179" spans="1:4" ht="16">
      <c r="A179" s="23"/>
      <c r="B179" s="23"/>
      <c r="C179" s="23"/>
      <c r="D179" s="23"/>
    </row>
    <row r="180" spans="1:4" ht="16">
      <c r="A180" s="23"/>
      <c r="B180" s="23"/>
      <c r="C180" s="23"/>
      <c r="D180" s="23"/>
    </row>
    <row r="181" spans="1:4" ht="16">
      <c r="A181" s="23"/>
      <c r="B181" s="23"/>
      <c r="C181" s="23"/>
      <c r="D181" s="23"/>
    </row>
    <row r="182" spans="1:4" ht="16">
      <c r="A182" s="23"/>
      <c r="B182" s="23"/>
      <c r="C182" s="23"/>
      <c r="D182" s="23"/>
    </row>
    <row r="183" spans="1:4" ht="16">
      <c r="A183" s="23"/>
      <c r="B183" s="23"/>
      <c r="C183" s="23"/>
      <c r="D183" s="23"/>
    </row>
    <row r="184" spans="1:4" ht="16">
      <c r="A184" s="23"/>
      <c r="B184" s="23"/>
      <c r="C184" s="23"/>
      <c r="D184" s="23"/>
    </row>
    <row r="185" spans="1:4" ht="16">
      <c r="A185" s="23"/>
      <c r="B185" s="23"/>
      <c r="C185" s="23"/>
      <c r="D185" s="23"/>
    </row>
    <row r="186" spans="1:4" ht="16">
      <c r="A186" s="23"/>
      <c r="B186" s="23"/>
      <c r="C186" s="23"/>
      <c r="D186" s="23"/>
    </row>
    <row r="187" spans="1:4" ht="16">
      <c r="A187" s="23"/>
      <c r="B187" s="23"/>
      <c r="C187" s="23"/>
      <c r="D187" s="23"/>
    </row>
    <row r="188" spans="1:4" ht="16">
      <c r="A188" s="23"/>
      <c r="B188" s="23"/>
      <c r="C188" s="23"/>
      <c r="D188" s="23"/>
    </row>
    <row r="189" spans="1:4" ht="16">
      <c r="A189" s="23"/>
      <c r="B189" s="23"/>
      <c r="C189" s="23"/>
      <c r="D189" s="23"/>
    </row>
    <row r="190" spans="1:4" ht="16">
      <c r="A190" s="23"/>
      <c r="B190" s="23"/>
      <c r="C190" s="23"/>
      <c r="D190" s="23"/>
    </row>
    <row r="191" spans="1:4" ht="16">
      <c r="A191" s="23"/>
      <c r="B191" s="23"/>
      <c r="C191" s="23"/>
      <c r="D191" s="23"/>
    </row>
    <row r="192" spans="1:4" ht="16">
      <c r="A192" s="23"/>
      <c r="B192" s="23"/>
      <c r="C192" s="23"/>
      <c r="D192" s="23"/>
    </row>
    <row r="193" spans="1:4" ht="16">
      <c r="A193" s="23"/>
      <c r="B193" s="23"/>
      <c r="C193" s="23"/>
      <c r="D193" s="23"/>
    </row>
    <row r="194" spans="1:4" ht="16">
      <c r="A194" s="23"/>
      <c r="B194" s="23"/>
      <c r="C194" s="23"/>
      <c r="D194" s="23"/>
    </row>
    <row r="195" spans="1:4" ht="16">
      <c r="A195" s="23"/>
      <c r="B195" s="23"/>
      <c r="C195" s="23"/>
      <c r="D195" s="23"/>
    </row>
    <row r="196" spans="1:4" ht="16">
      <c r="A196" s="23"/>
      <c r="B196" s="23"/>
      <c r="C196" s="23"/>
      <c r="D196" s="23"/>
    </row>
    <row r="197" spans="1:4" ht="16">
      <c r="A197" s="23"/>
      <c r="B197" s="23"/>
      <c r="C197" s="23"/>
      <c r="D197" s="23"/>
    </row>
    <row r="198" spans="1:4" ht="16">
      <c r="A198" s="23"/>
      <c r="B198" s="23"/>
      <c r="C198" s="23"/>
      <c r="D198" s="23"/>
    </row>
    <row r="199" spans="1:4" ht="16">
      <c r="A199" s="23"/>
      <c r="B199" s="23"/>
      <c r="C199" s="23"/>
      <c r="D199" s="23"/>
    </row>
    <row r="200" spans="1:4" ht="16">
      <c r="A200" s="23"/>
      <c r="B200" s="23"/>
      <c r="C200" s="23"/>
      <c r="D200" s="23"/>
    </row>
    <row r="201" spans="1:4" ht="16">
      <c r="A201" s="23"/>
      <c r="B201" s="23"/>
      <c r="C201" s="23"/>
      <c r="D201" s="23"/>
    </row>
    <row r="202" spans="1:4" ht="16">
      <c r="A202" s="23"/>
      <c r="B202" s="23"/>
      <c r="C202" s="23"/>
      <c r="D202" s="23"/>
    </row>
    <row r="203" spans="1:4" ht="16">
      <c r="A203" s="23"/>
      <c r="B203" s="23"/>
      <c r="C203" s="23"/>
      <c r="D203" s="23"/>
    </row>
    <row r="204" spans="1:4" ht="16">
      <c r="A204" s="23"/>
      <c r="B204" s="23"/>
      <c r="C204" s="23"/>
      <c r="D204" s="23"/>
    </row>
    <row r="205" spans="1:4" ht="16">
      <c r="A205" s="23"/>
      <c r="B205" s="23"/>
      <c r="C205" s="23"/>
      <c r="D205" s="23"/>
    </row>
    <row r="206" spans="1:4" ht="16">
      <c r="A206" s="23"/>
      <c r="B206" s="23"/>
      <c r="C206" s="23"/>
      <c r="D206" s="23"/>
    </row>
    <row r="207" spans="1:4" ht="16">
      <c r="A207" s="23"/>
      <c r="B207" s="23"/>
      <c r="C207" s="23"/>
      <c r="D207" s="23"/>
    </row>
    <row r="208" spans="1:4" ht="16">
      <c r="A208" s="23"/>
      <c r="B208" s="23"/>
      <c r="C208" s="23"/>
      <c r="D208" s="23"/>
    </row>
    <row r="209" spans="1:4" ht="16">
      <c r="A209" s="23"/>
      <c r="B209" s="23"/>
      <c r="C209" s="23"/>
      <c r="D209" s="23"/>
    </row>
    <row r="210" spans="1:4" ht="16">
      <c r="A210" s="23"/>
      <c r="B210" s="23"/>
      <c r="C210" s="23"/>
      <c r="D210" s="23"/>
    </row>
    <row r="211" spans="1:4" ht="16">
      <c r="A211" s="23"/>
      <c r="B211" s="23"/>
      <c r="C211" s="23"/>
      <c r="D211" s="23"/>
    </row>
    <row r="212" spans="1:4" ht="16">
      <c r="A212" s="23"/>
      <c r="B212" s="23"/>
      <c r="C212" s="23"/>
      <c r="D212" s="23"/>
    </row>
    <row r="213" spans="1:4" ht="16">
      <c r="A213" s="23"/>
      <c r="B213" s="23"/>
      <c r="C213" s="23"/>
      <c r="D213" s="23"/>
    </row>
    <row r="214" spans="1:4" ht="16">
      <c r="A214" s="23"/>
      <c r="B214" s="23"/>
      <c r="C214" s="23"/>
      <c r="D214" s="23"/>
    </row>
    <row r="215" spans="1:4" ht="16">
      <c r="A215" s="23"/>
      <c r="B215" s="23"/>
      <c r="C215" s="23"/>
      <c r="D215" s="23"/>
    </row>
    <row r="216" spans="1:4" ht="16">
      <c r="A216" s="23"/>
      <c r="B216" s="23"/>
      <c r="C216" s="23"/>
      <c r="D216" s="23"/>
    </row>
    <row r="217" spans="1:4" ht="16">
      <c r="A217" s="23"/>
      <c r="B217" s="23"/>
      <c r="C217" s="23"/>
      <c r="D217" s="23"/>
    </row>
    <row r="218" spans="1:4" ht="16">
      <c r="A218" s="23"/>
      <c r="B218" s="23"/>
      <c r="C218" s="23"/>
      <c r="D218" s="23"/>
    </row>
    <row r="219" spans="1:4" ht="16">
      <c r="A219" s="23"/>
      <c r="B219" s="23"/>
      <c r="C219" s="23"/>
      <c r="D219" s="23"/>
    </row>
    <row r="220" spans="1:4" ht="16">
      <c r="A220" s="23"/>
      <c r="B220" s="23"/>
      <c r="C220" s="23"/>
      <c r="D220" s="23"/>
    </row>
    <row r="221" spans="1:4" ht="16">
      <c r="A221" s="23"/>
      <c r="B221" s="23"/>
      <c r="C221" s="23"/>
      <c r="D221" s="23"/>
    </row>
    <row r="222" spans="1:4" ht="16">
      <c r="A222" s="23"/>
      <c r="B222" s="23"/>
      <c r="C222" s="23"/>
      <c r="D222" s="23"/>
    </row>
    <row r="223" spans="1:4" ht="16">
      <c r="A223" s="23"/>
      <c r="B223" s="23"/>
      <c r="C223" s="23"/>
      <c r="D223" s="23"/>
    </row>
    <row r="224" spans="1:4" ht="16">
      <c r="A224" s="23"/>
      <c r="B224" s="23"/>
      <c r="C224" s="23"/>
      <c r="D224" s="23"/>
    </row>
    <row r="225" spans="1:4" ht="16">
      <c r="A225" s="23"/>
      <c r="B225" s="23"/>
      <c r="C225" s="23"/>
      <c r="D225" s="23"/>
    </row>
    <row r="226" spans="1:4" ht="16">
      <c r="A226" s="23"/>
      <c r="B226" s="23"/>
      <c r="C226" s="23"/>
      <c r="D226" s="23"/>
    </row>
    <row r="227" spans="1:4" ht="16">
      <c r="A227" s="23"/>
      <c r="B227" s="23"/>
      <c r="C227" s="23"/>
      <c r="D227" s="23"/>
    </row>
    <row r="228" spans="1:4" ht="16">
      <c r="A228" s="23"/>
      <c r="B228" s="23"/>
      <c r="C228" s="23"/>
      <c r="D228" s="23"/>
    </row>
    <row r="229" spans="1:4" ht="16">
      <c r="A229" s="23"/>
      <c r="B229" s="23"/>
      <c r="C229" s="23"/>
      <c r="D229" s="23"/>
    </row>
    <row r="230" spans="1:4" ht="16">
      <c r="A230" s="23"/>
      <c r="B230" s="23"/>
      <c r="C230" s="23"/>
      <c r="D230" s="23"/>
    </row>
    <row r="231" spans="1:4" ht="16">
      <c r="A231" s="23"/>
      <c r="B231" s="23"/>
      <c r="C231" s="23"/>
      <c r="D231" s="23"/>
    </row>
    <row r="232" spans="1:4" ht="16">
      <c r="A232" s="23"/>
      <c r="B232" s="23"/>
      <c r="C232" s="23"/>
      <c r="D232" s="23"/>
    </row>
    <row r="233" spans="1:4" ht="16">
      <c r="A233" s="23"/>
      <c r="B233" s="23"/>
      <c r="C233" s="23"/>
      <c r="D233" s="23"/>
    </row>
    <row r="234" spans="1:4" ht="16">
      <c r="A234" s="23"/>
      <c r="B234" s="23"/>
      <c r="C234" s="23"/>
      <c r="D234" s="23"/>
    </row>
    <row r="235" spans="1:4" ht="16">
      <c r="A235" s="23"/>
      <c r="B235" s="23"/>
      <c r="C235" s="23"/>
      <c r="D235" s="23"/>
    </row>
    <row r="236" spans="1:4" ht="16">
      <c r="A236" s="23"/>
      <c r="B236" s="23"/>
      <c r="C236" s="23"/>
      <c r="D236" s="23"/>
    </row>
    <row r="237" spans="1:4" ht="16">
      <c r="A237" s="23"/>
      <c r="B237" s="23"/>
      <c r="C237" s="23"/>
      <c r="D237" s="23"/>
    </row>
    <row r="238" spans="1:4" ht="16">
      <c r="A238" s="23"/>
      <c r="B238" s="23"/>
      <c r="C238" s="23"/>
      <c r="D238" s="23"/>
    </row>
    <row r="239" spans="1:4" ht="16">
      <c r="A239" s="23"/>
      <c r="B239" s="23"/>
      <c r="C239" s="23"/>
      <c r="D239" s="23"/>
    </row>
    <row r="240" spans="1:4" ht="16">
      <c r="A240" s="23"/>
      <c r="B240" s="23"/>
      <c r="C240" s="23"/>
      <c r="D240" s="23"/>
    </row>
    <row r="241" spans="1:4" ht="16">
      <c r="A241" s="23"/>
      <c r="B241" s="23"/>
      <c r="C241" s="23"/>
      <c r="D241" s="23"/>
    </row>
    <row r="242" spans="1:4" ht="16">
      <c r="A242" s="23"/>
      <c r="B242" s="23"/>
      <c r="C242" s="23"/>
      <c r="D242" s="23"/>
    </row>
    <row r="243" spans="1:4" ht="16">
      <c r="A243" s="23"/>
      <c r="B243" s="23"/>
      <c r="C243" s="23"/>
      <c r="D243" s="23"/>
    </row>
    <row r="244" spans="1:4" ht="16">
      <c r="A244" s="23"/>
      <c r="B244" s="23"/>
      <c r="C244" s="23"/>
      <c r="D244" s="23"/>
    </row>
    <row r="245" spans="1:4" ht="16">
      <c r="A245" s="23"/>
      <c r="B245" s="23"/>
      <c r="C245" s="23"/>
      <c r="D245" s="23"/>
    </row>
    <row r="246" spans="1:4" ht="16">
      <c r="A246" s="23"/>
      <c r="B246" s="23"/>
      <c r="C246" s="23"/>
      <c r="D246" s="23"/>
    </row>
    <row r="247" spans="1:4" ht="16">
      <c r="A247" s="23"/>
      <c r="B247" s="23"/>
      <c r="C247" s="23"/>
      <c r="D247" s="23"/>
    </row>
    <row r="248" spans="1:4" ht="16">
      <c r="A248" s="23"/>
      <c r="B248" s="23"/>
      <c r="C248" s="23"/>
      <c r="D248" s="23"/>
    </row>
    <row r="249" spans="1:4" ht="16">
      <c r="A249" s="23"/>
      <c r="B249" s="23"/>
      <c r="C249" s="23"/>
      <c r="D249" s="23"/>
    </row>
    <row r="250" spans="1:4" ht="16">
      <c r="A250" s="23"/>
      <c r="B250" s="23"/>
      <c r="C250" s="23"/>
      <c r="D250" s="23"/>
    </row>
    <row r="251" spans="1:4" ht="16">
      <c r="A251" s="23"/>
      <c r="B251" s="23"/>
      <c r="C251" s="23"/>
      <c r="D251" s="23"/>
    </row>
    <row r="252" spans="1:4" ht="16">
      <c r="A252" s="23"/>
      <c r="B252" s="23"/>
      <c r="C252" s="23"/>
      <c r="D252" s="23"/>
    </row>
    <row r="253" spans="1:4" ht="16">
      <c r="A253" s="23"/>
      <c r="B253" s="23"/>
      <c r="C253" s="23"/>
      <c r="D253" s="23"/>
    </row>
    <row r="254" spans="1:4" ht="16">
      <c r="A254" s="23"/>
      <c r="B254" s="23"/>
      <c r="C254" s="23"/>
      <c r="D254" s="23"/>
    </row>
    <row r="255" spans="1:4" ht="16">
      <c r="A255" s="23"/>
      <c r="B255" s="23"/>
      <c r="C255" s="23"/>
      <c r="D255" s="23"/>
    </row>
    <row r="256" spans="1:4" ht="16">
      <c r="A256" s="23"/>
      <c r="B256" s="23"/>
      <c r="C256" s="23"/>
      <c r="D256" s="23"/>
    </row>
    <row r="257" spans="1:4" ht="16">
      <c r="A257" s="23"/>
      <c r="B257" s="23"/>
      <c r="C257" s="23"/>
      <c r="D257" s="23"/>
    </row>
    <row r="258" spans="1:4" ht="16">
      <c r="A258" s="23"/>
      <c r="B258" s="23"/>
      <c r="C258" s="23"/>
      <c r="D258" s="23"/>
    </row>
    <row r="259" spans="1:4" ht="16">
      <c r="A259" s="23"/>
      <c r="B259" s="23"/>
      <c r="C259" s="23"/>
      <c r="D259" s="23"/>
    </row>
    <row r="260" spans="1:4" ht="16">
      <c r="A260" s="23"/>
      <c r="B260" s="23"/>
      <c r="C260" s="23"/>
      <c r="D260" s="23"/>
    </row>
    <row r="261" spans="1:4" ht="16">
      <c r="A261" s="23"/>
      <c r="B261" s="23"/>
      <c r="C261" s="23"/>
      <c r="D261" s="23"/>
    </row>
    <row r="262" spans="1:4" ht="16">
      <c r="A262" s="23"/>
      <c r="B262" s="23"/>
      <c r="C262" s="23"/>
      <c r="D262" s="23"/>
    </row>
    <row r="263" spans="1:4" ht="16">
      <c r="A263" s="23"/>
      <c r="B263" s="23"/>
      <c r="C263" s="23"/>
      <c r="D263" s="23"/>
    </row>
    <row r="264" spans="1:4" ht="16">
      <c r="A264" s="23"/>
      <c r="B264" s="23"/>
      <c r="C264" s="23"/>
      <c r="D264" s="23"/>
    </row>
    <row r="265" spans="1:4" ht="16">
      <c r="A265" s="23"/>
      <c r="B265" s="23"/>
      <c r="C265" s="23"/>
      <c r="D265" s="23"/>
    </row>
    <row r="266" spans="1:4" ht="16">
      <c r="A266" s="23"/>
      <c r="B266" s="23"/>
      <c r="C266" s="23"/>
      <c r="D266" s="23"/>
    </row>
    <row r="267" spans="1:4" ht="16">
      <c r="A267" s="23"/>
      <c r="B267" s="23"/>
      <c r="C267" s="23"/>
      <c r="D267" s="23"/>
    </row>
    <row r="268" spans="1:4" ht="16">
      <c r="A268" s="23"/>
      <c r="B268" s="23"/>
      <c r="C268" s="23"/>
      <c r="D268" s="23"/>
    </row>
    <row r="269" spans="1:4" ht="16">
      <c r="A269" s="23"/>
      <c r="B269" s="23"/>
      <c r="C269" s="23"/>
      <c r="D269" s="23"/>
    </row>
    <row r="270" spans="1:4" ht="16">
      <c r="A270" s="23"/>
      <c r="B270" s="23"/>
      <c r="C270" s="23"/>
      <c r="D270" s="23"/>
    </row>
    <row r="271" spans="1:4" ht="16">
      <c r="A271" s="23"/>
      <c r="B271" s="23"/>
      <c r="C271" s="23"/>
      <c r="D271" s="23"/>
    </row>
    <row r="272" spans="1:4" ht="16">
      <c r="A272" s="23"/>
      <c r="B272" s="23"/>
      <c r="C272" s="23"/>
      <c r="D272" s="23"/>
    </row>
    <row r="273" spans="1:4" ht="16">
      <c r="A273" s="23"/>
      <c r="B273" s="23"/>
      <c r="C273" s="23"/>
      <c r="D273" s="23"/>
    </row>
    <row r="274" spans="1:4" ht="16">
      <c r="A274" s="23"/>
      <c r="B274" s="23"/>
      <c r="C274" s="23"/>
      <c r="D274" s="23"/>
    </row>
    <row r="275" spans="1:4" ht="16">
      <c r="A275" s="23"/>
      <c r="B275" s="23"/>
      <c r="C275" s="23"/>
      <c r="D275" s="23"/>
    </row>
    <row r="276" spans="1:4" ht="16">
      <c r="A276" s="23"/>
      <c r="B276" s="23"/>
      <c r="C276" s="23"/>
      <c r="D276" s="23"/>
    </row>
    <row r="277" spans="1:4" ht="16">
      <c r="A277" s="23"/>
      <c r="B277" s="23"/>
      <c r="C277" s="23"/>
      <c r="D277" s="23"/>
    </row>
    <row r="278" spans="1:4" ht="16">
      <c r="A278" s="23"/>
      <c r="B278" s="23"/>
      <c r="C278" s="23"/>
      <c r="D278" s="23"/>
    </row>
    <row r="279" spans="1:4" ht="16">
      <c r="A279" s="23"/>
      <c r="B279" s="23"/>
      <c r="C279" s="23"/>
      <c r="D279" s="23"/>
    </row>
    <row r="280" spans="1:4" ht="16">
      <c r="A280" s="23"/>
      <c r="B280" s="23"/>
      <c r="C280" s="23"/>
      <c r="D280" s="23"/>
    </row>
    <row r="281" spans="1:4" ht="16">
      <c r="A281" s="23"/>
      <c r="B281" s="23"/>
      <c r="C281" s="23"/>
      <c r="D281" s="23"/>
    </row>
    <row r="282" spans="1:4" ht="16">
      <c r="A282" s="23"/>
      <c r="B282" s="23"/>
      <c r="C282" s="23"/>
      <c r="D282" s="23"/>
    </row>
    <row r="283" spans="1:4" ht="16">
      <c r="A283" s="23"/>
      <c r="B283" s="23"/>
      <c r="C283" s="23"/>
      <c r="D283" s="23"/>
    </row>
    <row r="284" spans="1:4" ht="16">
      <c r="A284" s="23"/>
      <c r="B284" s="23"/>
      <c r="C284" s="23"/>
      <c r="D284" s="23"/>
    </row>
    <row r="285" spans="1:4" ht="16">
      <c r="A285" s="23"/>
      <c r="B285" s="23"/>
      <c r="C285" s="23"/>
      <c r="D285" s="23"/>
    </row>
    <row r="286" spans="1:4" ht="16">
      <c r="A286" s="23"/>
      <c r="B286" s="23"/>
      <c r="C286" s="23"/>
      <c r="D286" s="23"/>
    </row>
    <row r="287" spans="1:4" ht="16">
      <c r="A287" s="23"/>
      <c r="B287" s="23"/>
      <c r="C287" s="23"/>
      <c r="D287" s="23"/>
    </row>
    <row r="288" spans="1:4" ht="16">
      <c r="A288" s="23"/>
      <c r="B288" s="23"/>
      <c r="C288" s="23"/>
      <c r="D288" s="23"/>
    </row>
    <row r="289" spans="1:4" ht="16">
      <c r="A289" s="23"/>
      <c r="B289" s="23"/>
      <c r="C289" s="23"/>
      <c r="D289" s="23"/>
    </row>
    <row r="290" spans="1:4" ht="16">
      <c r="A290" s="23"/>
      <c r="B290" s="23"/>
      <c r="C290" s="23"/>
      <c r="D290" s="23"/>
    </row>
    <row r="291" spans="1:4" ht="16">
      <c r="A291" s="23"/>
      <c r="B291" s="23"/>
      <c r="C291" s="23"/>
      <c r="D291" s="23"/>
    </row>
    <row r="292" spans="1:4" ht="16">
      <c r="A292" s="23"/>
      <c r="B292" s="23"/>
      <c r="C292" s="23"/>
      <c r="D292" s="23"/>
    </row>
    <row r="293" spans="1:4" ht="16">
      <c r="A293" s="23"/>
      <c r="B293" s="23"/>
      <c r="C293" s="23"/>
      <c r="D293" s="23"/>
    </row>
    <row r="294" spans="1:4" ht="16">
      <c r="A294" s="23"/>
      <c r="B294" s="23"/>
      <c r="C294" s="23"/>
      <c r="D294" s="23"/>
    </row>
    <row r="295" spans="1:4" ht="16">
      <c r="A295" s="23"/>
      <c r="B295" s="23"/>
      <c r="C295" s="23"/>
      <c r="D295" s="23"/>
    </row>
    <row r="296" spans="1:4" ht="16">
      <c r="A296" s="23"/>
      <c r="B296" s="23"/>
      <c r="C296" s="23"/>
      <c r="D296" s="23"/>
    </row>
    <row r="297" spans="1:4" ht="16">
      <c r="A297" s="23"/>
      <c r="B297" s="23"/>
      <c r="C297" s="23"/>
      <c r="D297" s="23"/>
    </row>
    <row r="298" spans="1:4" ht="16">
      <c r="A298" s="23"/>
      <c r="B298" s="23"/>
      <c r="C298" s="23"/>
      <c r="D298" s="23"/>
    </row>
    <row r="299" spans="1:4" ht="16">
      <c r="A299" s="23"/>
      <c r="B299" s="23"/>
      <c r="C299" s="23"/>
      <c r="D299" s="23"/>
    </row>
    <row r="300" spans="1:4" ht="16">
      <c r="A300" s="23"/>
      <c r="B300" s="23"/>
      <c r="C300" s="23"/>
      <c r="D300" s="23"/>
    </row>
    <row r="301" spans="1:4" ht="16">
      <c r="A301" s="23"/>
      <c r="B301" s="23"/>
      <c r="C301" s="23"/>
      <c r="D301" s="23"/>
    </row>
    <row r="302" spans="1:4" ht="16">
      <c r="A302" s="23"/>
      <c r="B302" s="23"/>
      <c r="C302" s="23"/>
      <c r="D302" s="23"/>
    </row>
    <row r="303" spans="1:4" ht="16">
      <c r="A303" s="23"/>
      <c r="B303" s="23"/>
      <c r="C303" s="23"/>
      <c r="D303" s="23"/>
    </row>
    <row r="304" spans="1:4" ht="16">
      <c r="A304" s="23"/>
      <c r="B304" s="23"/>
      <c r="C304" s="23"/>
      <c r="D304" s="23"/>
    </row>
    <row r="305" spans="1:4" ht="16">
      <c r="A305" s="23"/>
      <c r="B305" s="23"/>
      <c r="C305" s="23"/>
      <c r="D305" s="23"/>
    </row>
    <row r="306" spans="1:4" ht="16">
      <c r="A306" s="23"/>
      <c r="B306" s="23"/>
      <c r="C306" s="23"/>
      <c r="D306" s="23"/>
    </row>
    <row r="307" spans="1:4" ht="16">
      <c r="A307" s="23"/>
      <c r="B307" s="23"/>
      <c r="C307" s="23"/>
      <c r="D307" s="23"/>
    </row>
    <row r="308" spans="1:4" ht="16">
      <c r="A308" s="23"/>
      <c r="B308" s="23"/>
      <c r="C308" s="23"/>
      <c r="D308" s="23"/>
    </row>
    <row r="309" spans="1:4" ht="16">
      <c r="A309" s="23"/>
      <c r="B309" s="23"/>
      <c r="C309" s="23"/>
      <c r="D309" s="23"/>
    </row>
    <row r="310" spans="1:4" ht="16">
      <c r="A310" s="23"/>
      <c r="B310" s="23"/>
      <c r="C310" s="23"/>
      <c r="D310" s="23"/>
    </row>
    <row r="311" spans="1:4" ht="16">
      <c r="A311" s="23"/>
      <c r="B311" s="23"/>
      <c r="C311" s="23"/>
      <c r="D311" s="23"/>
    </row>
    <row r="312" spans="1:4" ht="16">
      <c r="A312" s="23"/>
      <c r="B312" s="23"/>
      <c r="C312" s="23"/>
      <c r="D312" s="23"/>
    </row>
    <row r="313" spans="1:4" ht="16">
      <c r="A313" s="23"/>
      <c r="B313" s="23"/>
      <c r="C313" s="23"/>
      <c r="D313" s="23"/>
    </row>
    <row r="314" spans="1:4" ht="16">
      <c r="A314" s="23"/>
      <c r="B314" s="23"/>
      <c r="C314" s="23"/>
      <c r="D314" s="23"/>
    </row>
    <row r="315" spans="1:4" ht="16">
      <c r="A315" s="23"/>
      <c r="B315" s="23"/>
      <c r="C315" s="23"/>
      <c r="D315" s="23"/>
    </row>
    <row r="316" spans="1:4" ht="16">
      <c r="A316" s="23"/>
      <c r="B316" s="23"/>
      <c r="C316" s="23"/>
      <c r="D316" s="23"/>
    </row>
    <row r="317" spans="1:4" ht="16">
      <c r="A317" s="23"/>
      <c r="B317" s="23"/>
      <c r="C317" s="23"/>
      <c r="D317" s="23"/>
    </row>
    <row r="318" spans="1:4" ht="16">
      <c r="A318" s="23"/>
      <c r="B318" s="23"/>
      <c r="C318" s="23"/>
      <c r="D318" s="23"/>
    </row>
    <row r="319" spans="1:4" ht="16">
      <c r="A319" s="23"/>
      <c r="B319" s="23"/>
      <c r="C319" s="23"/>
      <c r="D319" s="23"/>
    </row>
    <row r="320" spans="1:4" ht="16">
      <c r="A320" s="23"/>
      <c r="B320" s="23"/>
      <c r="C320" s="23"/>
      <c r="D320" s="23"/>
    </row>
    <row r="321" spans="1:4" ht="16">
      <c r="A321" s="23"/>
      <c r="B321" s="23"/>
      <c r="C321" s="23"/>
      <c r="D321" s="23"/>
    </row>
    <row r="322" spans="1:4" ht="16">
      <c r="A322" s="23"/>
      <c r="B322" s="23"/>
      <c r="C322" s="23"/>
      <c r="D322" s="23"/>
    </row>
    <row r="323" spans="1:4" ht="16">
      <c r="A323" s="23"/>
      <c r="B323" s="23"/>
      <c r="C323" s="23"/>
      <c r="D323" s="23"/>
    </row>
    <row r="324" spans="1:4" ht="16">
      <c r="A324" s="23"/>
      <c r="B324" s="23"/>
      <c r="C324" s="23"/>
      <c r="D324" s="23"/>
    </row>
    <row r="325" spans="1:4" ht="16">
      <c r="A325" s="23"/>
      <c r="B325" s="23"/>
      <c r="C325" s="23"/>
      <c r="D325" s="23"/>
    </row>
    <row r="326" spans="1:4" ht="16">
      <c r="A326" s="23"/>
      <c r="B326" s="23"/>
      <c r="C326" s="23"/>
      <c r="D326" s="23"/>
    </row>
    <row r="327" spans="1:4" ht="16">
      <c r="A327" s="23"/>
      <c r="B327" s="23"/>
      <c r="C327" s="23"/>
      <c r="D327" s="23"/>
    </row>
    <row r="328" spans="1:4" ht="16">
      <c r="A328" s="23"/>
      <c r="B328" s="23"/>
      <c r="C328" s="23"/>
      <c r="D328" s="23"/>
    </row>
    <row r="329" spans="1:4" ht="16">
      <c r="A329" s="23"/>
      <c r="B329" s="23"/>
      <c r="C329" s="23"/>
      <c r="D329" s="23"/>
    </row>
    <row r="330" spans="1:4" ht="16">
      <c r="A330" s="23"/>
      <c r="B330" s="23"/>
      <c r="C330" s="23"/>
      <c r="D330" s="23"/>
    </row>
    <row r="331" spans="1:4" ht="16">
      <c r="A331" s="23"/>
      <c r="B331" s="23"/>
      <c r="C331" s="23"/>
      <c r="D331" s="23"/>
    </row>
    <row r="332" spans="1:4" ht="16">
      <c r="A332" s="23"/>
      <c r="B332" s="23"/>
      <c r="C332" s="23"/>
      <c r="D332" s="23"/>
    </row>
    <row r="333" spans="1:4" ht="16">
      <c r="A333" s="23"/>
      <c r="B333" s="23"/>
      <c r="C333" s="23"/>
      <c r="D333" s="23"/>
    </row>
    <row r="334" spans="1:4" ht="16">
      <c r="A334" s="23"/>
      <c r="B334" s="23"/>
      <c r="C334" s="23"/>
      <c r="D334" s="23"/>
    </row>
    <row r="335" spans="1:4" ht="16">
      <c r="A335" s="23"/>
      <c r="B335" s="23"/>
      <c r="C335" s="23"/>
      <c r="D335" s="23"/>
    </row>
    <row r="336" spans="1:4" ht="16">
      <c r="A336" s="23"/>
      <c r="B336" s="23"/>
      <c r="C336" s="23"/>
      <c r="D336" s="23"/>
    </row>
    <row r="337" spans="1:4" ht="16">
      <c r="A337" s="23"/>
      <c r="B337" s="23"/>
      <c r="C337" s="23"/>
      <c r="D337" s="23"/>
    </row>
    <row r="338" spans="1:4" ht="16">
      <c r="A338" s="23"/>
      <c r="B338" s="23"/>
      <c r="C338" s="23"/>
      <c r="D338" s="23"/>
    </row>
    <row r="339" spans="1:4" ht="16">
      <c r="A339" s="23"/>
      <c r="B339" s="23"/>
      <c r="C339" s="23"/>
      <c r="D339" s="23"/>
    </row>
    <row r="340" spans="1:4" ht="16">
      <c r="A340" s="23"/>
      <c r="B340" s="23"/>
      <c r="C340" s="23"/>
      <c r="D340" s="23"/>
    </row>
    <row r="341" spans="1:4" ht="16">
      <c r="A341" s="23"/>
      <c r="B341" s="23"/>
      <c r="C341" s="23"/>
      <c r="D341" s="23"/>
    </row>
    <row r="342" spans="1:4" ht="16">
      <c r="A342" s="23"/>
      <c r="B342" s="23"/>
      <c r="C342" s="23"/>
      <c r="D342" s="23"/>
    </row>
    <row r="343" spans="1:4" ht="16">
      <c r="A343" s="23"/>
      <c r="B343" s="23"/>
      <c r="C343" s="23"/>
      <c r="D343" s="23"/>
    </row>
    <row r="344" spans="1:4" ht="16">
      <c r="A344" s="23"/>
      <c r="B344" s="23"/>
      <c r="C344" s="23"/>
      <c r="D344" s="23"/>
    </row>
    <row r="345" spans="1:4" ht="16">
      <c r="A345" s="23"/>
      <c r="B345" s="23"/>
      <c r="C345" s="23"/>
      <c r="D345" s="23"/>
    </row>
    <row r="346" spans="1:4" ht="16">
      <c r="A346" s="23"/>
      <c r="B346" s="23"/>
      <c r="C346" s="23"/>
      <c r="D346" s="23"/>
    </row>
    <row r="347" spans="1:4" ht="16">
      <c r="A347" s="23"/>
      <c r="B347" s="23"/>
      <c r="C347" s="23"/>
      <c r="D347" s="23"/>
    </row>
    <row r="348" spans="1:4" ht="16">
      <c r="A348" s="23"/>
      <c r="B348" s="23"/>
      <c r="C348" s="23"/>
      <c r="D348" s="23"/>
    </row>
    <row r="349" spans="1:4" ht="16">
      <c r="A349" s="23"/>
      <c r="B349" s="23"/>
      <c r="C349" s="23"/>
      <c r="D349" s="23"/>
    </row>
    <row r="350" spans="1:4" ht="16">
      <c r="A350" s="23"/>
      <c r="B350" s="23"/>
      <c r="C350" s="23"/>
      <c r="D350" s="23"/>
    </row>
    <row r="351" spans="1:4" ht="16">
      <c r="A351" s="23"/>
      <c r="B351" s="23"/>
      <c r="C351" s="23"/>
      <c r="D351" s="23"/>
    </row>
    <row r="352" spans="1:4" ht="16">
      <c r="A352" s="23"/>
      <c r="B352" s="23"/>
      <c r="C352" s="23"/>
      <c r="D352" s="23"/>
    </row>
    <row r="353" spans="1:4" ht="16">
      <c r="A353" s="23"/>
      <c r="B353" s="23"/>
      <c r="C353" s="23"/>
      <c r="D353" s="23"/>
    </row>
    <row r="354" spans="1:4" ht="16">
      <c r="A354" s="23"/>
      <c r="B354" s="23"/>
      <c r="C354" s="23"/>
      <c r="D354" s="23"/>
    </row>
    <row r="355" spans="1:4" ht="16">
      <c r="A355" s="23"/>
      <c r="B355" s="23"/>
      <c r="C355" s="23"/>
      <c r="D355" s="23"/>
    </row>
    <row r="356" spans="1:4" ht="16">
      <c r="A356" s="23"/>
      <c r="B356" s="23"/>
      <c r="C356" s="23"/>
      <c r="D356" s="23"/>
    </row>
    <row r="357" spans="1:4" ht="16">
      <c r="A357" s="23"/>
      <c r="B357" s="23"/>
      <c r="C357" s="23"/>
      <c r="D357" s="23"/>
    </row>
    <row r="358" spans="1:4" ht="16">
      <c r="A358" s="23"/>
      <c r="B358" s="23"/>
      <c r="C358" s="23"/>
      <c r="D358" s="23"/>
    </row>
    <row r="359" spans="1:4" ht="16">
      <c r="A359" s="23"/>
      <c r="B359" s="23"/>
      <c r="C359" s="23"/>
      <c r="D359" s="23"/>
    </row>
    <row r="360" spans="1:4" ht="16">
      <c r="A360" s="23"/>
      <c r="B360" s="23"/>
      <c r="C360" s="23"/>
      <c r="D360" s="23"/>
    </row>
    <row r="361" spans="1:4" ht="16">
      <c r="A361" s="23"/>
      <c r="B361" s="23"/>
      <c r="C361" s="23"/>
      <c r="D361" s="23"/>
    </row>
    <row r="362" spans="1:4" ht="16">
      <c r="A362" s="23"/>
      <c r="B362" s="23"/>
      <c r="C362" s="23"/>
      <c r="D362" s="23"/>
    </row>
    <row r="363" spans="1:4" ht="16">
      <c r="A363" s="23"/>
      <c r="B363" s="23"/>
      <c r="C363" s="23"/>
      <c r="D363" s="23"/>
    </row>
    <row r="364" spans="1:4" ht="16">
      <c r="A364" s="23"/>
      <c r="B364" s="23"/>
      <c r="C364" s="23"/>
      <c r="D364" s="23"/>
    </row>
    <row r="365" spans="1:4" ht="16">
      <c r="A365" s="23"/>
      <c r="B365" s="23"/>
      <c r="C365" s="23"/>
      <c r="D365" s="23"/>
    </row>
    <row r="366" spans="1:4" ht="16">
      <c r="A366" s="23"/>
      <c r="B366" s="23"/>
      <c r="C366" s="23"/>
      <c r="D366" s="23"/>
    </row>
    <row r="367" spans="1:4" ht="16">
      <c r="A367" s="23"/>
      <c r="B367" s="23"/>
      <c r="C367" s="23"/>
      <c r="D367" s="23"/>
    </row>
    <row r="368" spans="1:4" ht="16">
      <c r="A368" s="23"/>
      <c r="B368" s="23"/>
      <c r="C368" s="23"/>
      <c r="D368" s="23"/>
    </row>
    <row r="369" spans="1:4" ht="16">
      <c r="A369" s="23"/>
      <c r="B369" s="23"/>
      <c r="C369" s="23"/>
      <c r="D369" s="23"/>
    </row>
    <row r="370" spans="1:4" ht="16">
      <c r="A370" s="23"/>
      <c r="B370" s="23"/>
      <c r="C370" s="23"/>
      <c r="D370" s="23"/>
    </row>
    <row r="371" spans="1:4" ht="16">
      <c r="A371" s="23"/>
      <c r="B371" s="23"/>
      <c r="C371" s="23"/>
      <c r="D371" s="23"/>
    </row>
    <row r="372" spans="1:4" ht="16">
      <c r="A372" s="23"/>
      <c r="B372" s="23"/>
      <c r="C372" s="23"/>
      <c r="D372" s="23"/>
    </row>
    <row r="373" spans="1:4" ht="16">
      <c r="A373" s="23"/>
      <c r="B373" s="23"/>
      <c r="C373" s="23"/>
      <c r="D373" s="23"/>
    </row>
    <row r="374" spans="1:4" ht="16">
      <c r="A374" s="23"/>
      <c r="B374" s="23"/>
      <c r="C374" s="23"/>
      <c r="D374" s="23"/>
    </row>
    <row r="375" spans="1:4" ht="16">
      <c r="A375" s="23"/>
      <c r="B375" s="23"/>
      <c r="C375" s="23"/>
      <c r="D375" s="23"/>
    </row>
    <row r="376" spans="1:4" ht="16">
      <c r="A376" s="23"/>
      <c r="B376" s="23"/>
      <c r="C376" s="23"/>
      <c r="D376" s="23"/>
    </row>
    <row r="377" spans="1:4" ht="16">
      <c r="A377" s="23"/>
      <c r="B377" s="23"/>
      <c r="C377" s="23"/>
      <c r="D377" s="23"/>
    </row>
    <row r="378" spans="1:4" ht="16">
      <c r="A378" s="23"/>
      <c r="B378" s="23"/>
      <c r="C378" s="23"/>
      <c r="D378" s="23"/>
    </row>
    <row r="379" spans="1:4" ht="16">
      <c r="A379" s="23"/>
      <c r="B379" s="23"/>
      <c r="C379" s="23"/>
      <c r="D379" s="23"/>
    </row>
    <row r="380" spans="1:4" ht="16">
      <c r="A380" s="23"/>
      <c r="B380" s="23"/>
      <c r="C380" s="23"/>
      <c r="D380" s="23"/>
    </row>
    <row r="381" spans="1:4" ht="16">
      <c r="A381" s="23"/>
      <c r="B381" s="23"/>
      <c r="C381" s="23"/>
      <c r="D381" s="23"/>
    </row>
    <row r="382" spans="1:4" ht="16">
      <c r="A382" s="23"/>
      <c r="B382" s="23"/>
      <c r="C382" s="23"/>
      <c r="D382" s="23"/>
    </row>
    <row r="383" spans="1:4" ht="16">
      <c r="A383" s="23"/>
      <c r="B383" s="23"/>
      <c r="C383" s="23"/>
      <c r="D383" s="23"/>
    </row>
    <row r="384" spans="1:4" ht="16">
      <c r="A384" s="23"/>
      <c r="B384" s="23"/>
      <c r="C384" s="23"/>
      <c r="D384" s="23"/>
    </row>
    <row r="385" spans="1:4" ht="16">
      <c r="A385" s="23"/>
      <c r="B385" s="23"/>
      <c r="C385" s="23"/>
      <c r="D385" s="23"/>
    </row>
    <row r="386" spans="1:4" ht="16">
      <c r="A386" s="23"/>
      <c r="B386" s="23"/>
      <c r="C386" s="23"/>
      <c r="D386" s="23"/>
    </row>
    <row r="387" spans="1:4" ht="16">
      <c r="A387" s="23"/>
      <c r="B387" s="23"/>
      <c r="C387" s="23"/>
      <c r="D387" s="23"/>
    </row>
    <row r="388" spans="1:4" ht="16">
      <c r="A388" s="23"/>
      <c r="B388" s="23"/>
      <c r="C388" s="23"/>
      <c r="D388" s="23"/>
    </row>
    <row r="389" spans="1:4" ht="16">
      <c r="A389" s="23"/>
      <c r="B389" s="23"/>
      <c r="C389" s="23"/>
      <c r="D389" s="23"/>
    </row>
    <row r="390" spans="1:4" ht="16">
      <c r="A390" s="23"/>
      <c r="B390" s="23"/>
      <c r="C390" s="23"/>
      <c r="D390" s="23"/>
    </row>
    <row r="391" spans="1:4" ht="16">
      <c r="A391" s="23"/>
      <c r="B391" s="23"/>
      <c r="C391" s="23"/>
      <c r="D391" s="23"/>
    </row>
    <row r="392" spans="1:4" ht="16">
      <c r="A392" s="23"/>
      <c r="B392" s="23"/>
      <c r="C392" s="23"/>
      <c r="D392" s="23"/>
    </row>
    <row r="393" spans="1:4" ht="16">
      <c r="A393" s="23"/>
      <c r="B393" s="23"/>
      <c r="C393" s="23"/>
      <c r="D393" s="23"/>
    </row>
    <row r="394" spans="1:4" ht="16">
      <c r="A394" s="23"/>
      <c r="B394" s="23"/>
      <c r="C394" s="23"/>
      <c r="D394" s="23"/>
    </row>
    <row r="395" spans="1:4" ht="16">
      <c r="A395" s="23"/>
      <c r="B395" s="23"/>
      <c r="C395" s="23"/>
      <c r="D395" s="23"/>
    </row>
    <row r="396" spans="1:4" ht="16">
      <c r="A396" s="23"/>
      <c r="B396" s="23"/>
      <c r="C396" s="23"/>
      <c r="D396" s="23"/>
    </row>
    <row r="397" spans="1:4" ht="16">
      <c r="A397" s="23"/>
      <c r="B397" s="23"/>
      <c r="C397" s="23"/>
      <c r="D397" s="23"/>
    </row>
    <row r="398" spans="1:4" ht="16">
      <c r="A398" s="23"/>
      <c r="B398" s="23"/>
      <c r="C398" s="23"/>
      <c r="D398" s="23"/>
    </row>
    <row r="399" spans="1:4" ht="16">
      <c r="A399" s="23"/>
      <c r="B399" s="23"/>
      <c r="C399" s="23"/>
      <c r="D399" s="23"/>
    </row>
    <row r="400" spans="1:4" ht="16">
      <c r="A400" s="23"/>
      <c r="B400" s="23"/>
      <c r="C400" s="23"/>
      <c r="D400" s="23"/>
    </row>
    <row r="401" spans="1:4" ht="16">
      <c r="A401" s="23"/>
      <c r="B401" s="23"/>
      <c r="C401" s="23"/>
      <c r="D401" s="23"/>
    </row>
    <row r="402" spans="1:4" ht="16">
      <c r="A402" s="23"/>
      <c r="B402" s="23"/>
      <c r="C402" s="23"/>
      <c r="D402" s="23"/>
    </row>
    <row r="403" spans="1:4" ht="16">
      <c r="A403" s="23"/>
      <c r="B403" s="23"/>
      <c r="C403" s="23"/>
      <c r="D403" s="23"/>
    </row>
    <row r="404" spans="1:4" ht="16">
      <c r="A404" s="23"/>
      <c r="B404" s="23"/>
      <c r="C404" s="23"/>
      <c r="D404" s="23"/>
    </row>
    <row r="405" spans="1:4" ht="16">
      <c r="A405" s="23"/>
      <c r="B405" s="23"/>
      <c r="C405" s="23"/>
      <c r="D405" s="23"/>
    </row>
    <row r="406" spans="1:4" ht="16">
      <c r="A406" s="23"/>
      <c r="B406" s="23"/>
      <c r="C406" s="23"/>
      <c r="D406" s="23"/>
    </row>
    <row r="407" spans="1:4" ht="16">
      <c r="A407" s="23"/>
      <c r="B407" s="23"/>
      <c r="C407" s="23"/>
      <c r="D407" s="23"/>
    </row>
    <row r="408" spans="1:4" ht="16">
      <c r="A408" s="23"/>
      <c r="B408" s="23"/>
      <c r="C408" s="23"/>
      <c r="D408" s="23"/>
    </row>
    <row r="409" spans="1:4" ht="16">
      <c r="A409" s="23"/>
      <c r="B409" s="23"/>
      <c r="C409" s="23"/>
      <c r="D409" s="23"/>
    </row>
    <row r="410" spans="1:4" ht="16">
      <c r="A410" s="23"/>
      <c r="B410" s="23"/>
      <c r="C410" s="23"/>
      <c r="D410" s="23"/>
    </row>
    <row r="411" spans="1:4" ht="16">
      <c r="A411" s="23"/>
      <c r="B411" s="23"/>
      <c r="C411" s="23"/>
      <c r="D411" s="23"/>
    </row>
    <row r="412" spans="1:4" ht="16">
      <c r="A412" s="23"/>
      <c r="B412" s="23"/>
      <c r="C412" s="23"/>
      <c r="D412" s="23"/>
    </row>
    <row r="413" spans="1:4" ht="16">
      <c r="A413" s="23"/>
      <c r="B413" s="23"/>
      <c r="C413" s="23"/>
      <c r="D413" s="23"/>
    </row>
    <row r="414" spans="1:4" ht="16">
      <c r="A414" s="23"/>
      <c r="B414" s="23"/>
      <c r="C414" s="23"/>
      <c r="D414" s="23"/>
    </row>
    <row r="415" spans="1:4" ht="16">
      <c r="A415" s="23"/>
      <c r="B415" s="23"/>
      <c r="C415" s="23"/>
      <c r="D415" s="23"/>
    </row>
    <row r="416" spans="1:4" ht="16">
      <c r="A416" s="23"/>
      <c r="B416" s="23"/>
      <c r="C416" s="23"/>
      <c r="D416" s="23"/>
    </row>
    <row r="417" spans="1:4" ht="16">
      <c r="A417" s="23"/>
      <c r="B417" s="23"/>
      <c r="C417" s="23"/>
      <c r="D417" s="23"/>
    </row>
    <row r="418" spans="1:4" ht="16">
      <c r="A418" s="23"/>
      <c r="B418" s="23"/>
      <c r="C418" s="23"/>
      <c r="D418" s="23"/>
    </row>
    <row r="419" spans="1:4" ht="16">
      <c r="A419" s="23"/>
      <c r="B419" s="23"/>
      <c r="C419" s="23"/>
      <c r="D419" s="23"/>
    </row>
    <row r="420" spans="1:4" ht="16">
      <c r="A420" s="23"/>
      <c r="B420" s="23"/>
      <c r="C420" s="23"/>
      <c r="D420" s="23"/>
    </row>
    <row r="421" spans="1:4" ht="16">
      <c r="A421" s="23"/>
      <c r="B421" s="23"/>
      <c r="C421" s="23"/>
      <c r="D421" s="23"/>
    </row>
    <row r="422" spans="1:4" ht="16">
      <c r="A422" s="23"/>
      <c r="B422" s="23"/>
      <c r="C422" s="23"/>
      <c r="D422" s="23"/>
    </row>
    <row r="423" spans="1:4" ht="16">
      <c r="A423" s="23"/>
      <c r="B423" s="23"/>
      <c r="C423" s="23"/>
      <c r="D423" s="23"/>
    </row>
    <row r="424" spans="1:4" ht="16">
      <c r="A424" s="23"/>
      <c r="B424" s="23"/>
      <c r="C424" s="23"/>
      <c r="D424" s="23"/>
    </row>
    <row r="425" spans="1:4" ht="16">
      <c r="A425" s="23"/>
      <c r="B425" s="23"/>
      <c r="C425" s="23"/>
      <c r="D425" s="23"/>
    </row>
    <row r="426" spans="1:4" ht="16">
      <c r="A426" s="23"/>
      <c r="B426" s="23"/>
      <c r="C426" s="23"/>
      <c r="D426" s="23"/>
    </row>
    <row r="427" spans="1:4" ht="16">
      <c r="A427" s="23"/>
      <c r="B427" s="23"/>
      <c r="C427" s="23"/>
      <c r="D427" s="23"/>
    </row>
    <row r="428" spans="1:4" ht="16">
      <c r="A428" s="23"/>
      <c r="B428" s="23"/>
      <c r="C428" s="23"/>
      <c r="D428" s="23"/>
    </row>
    <row r="429" spans="1:4" ht="16">
      <c r="A429" s="23"/>
      <c r="B429" s="23"/>
      <c r="C429" s="23"/>
      <c r="D429" s="23"/>
    </row>
    <row r="430" spans="1:4" ht="16">
      <c r="A430" s="23"/>
      <c r="B430" s="23"/>
      <c r="C430" s="23"/>
      <c r="D430" s="23"/>
    </row>
    <row r="431" spans="1:4" ht="16">
      <c r="A431" s="23"/>
      <c r="B431" s="23"/>
      <c r="C431" s="23"/>
      <c r="D431" s="23"/>
    </row>
    <row r="432" spans="1:4" ht="16">
      <c r="A432" s="23"/>
      <c r="B432" s="23"/>
      <c r="C432" s="23"/>
      <c r="D432" s="23"/>
    </row>
    <row r="433" spans="1:4" ht="16">
      <c r="A433" s="23"/>
      <c r="B433" s="23"/>
      <c r="C433" s="23"/>
      <c r="D433" s="23"/>
    </row>
    <row r="434" spans="1:4" ht="16">
      <c r="A434" s="23"/>
      <c r="B434" s="23"/>
      <c r="C434" s="23"/>
      <c r="D434" s="23"/>
    </row>
    <row r="435" spans="1:4" ht="16">
      <c r="A435" s="23"/>
      <c r="B435" s="23"/>
      <c r="C435" s="23"/>
      <c r="D435" s="23"/>
    </row>
    <row r="436" spans="1:4" ht="16">
      <c r="A436" s="23"/>
      <c r="B436" s="23"/>
      <c r="C436" s="23"/>
      <c r="D436" s="23"/>
    </row>
    <row r="437" spans="1:4" ht="16">
      <c r="A437" s="23"/>
      <c r="B437" s="23"/>
      <c r="C437" s="23"/>
      <c r="D437" s="23"/>
    </row>
    <row r="438" spans="1:4" ht="16">
      <c r="A438" s="23"/>
      <c r="B438" s="23"/>
      <c r="C438" s="23"/>
      <c r="D438" s="23"/>
    </row>
    <row r="439" spans="1:4" ht="16">
      <c r="A439" s="23"/>
      <c r="B439" s="23"/>
      <c r="C439" s="23"/>
      <c r="D439" s="23"/>
    </row>
    <row r="440" spans="1:4" ht="16">
      <c r="A440" s="23"/>
      <c r="B440" s="23"/>
      <c r="C440" s="23"/>
      <c r="D440" s="23"/>
    </row>
    <row r="441" spans="1:4" ht="16">
      <c r="A441" s="23"/>
      <c r="B441" s="23"/>
      <c r="C441" s="23"/>
      <c r="D441" s="23"/>
    </row>
    <row r="442" spans="1:4" ht="16">
      <c r="A442" s="23"/>
      <c r="B442" s="23"/>
      <c r="C442" s="23"/>
      <c r="D442" s="23"/>
    </row>
    <row r="443" spans="1:4" ht="16">
      <c r="A443" s="23"/>
      <c r="B443" s="23"/>
      <c r="C443" s="23"/>
      <c r="D443" s="23"/>
    </row>
    <row r="444" spans="1:4" ht="16">
      <c r="A444" s="23"/>
      <c r="B444" s="23"/>
      <c r="C444" s="23"/>
      <c r="D444" s="23"/>
    </row>
    <row r="445" spans="1:4" ht="16">
      <c r="A445" s="23"/>
      <c r="B445" s="23"/>
      <c r="C445" s="23"/>
      <c r="D445" s="23"/>
    </row>
    <row r="446" spans="1:4" ht="16">
      <c r="A446" s="23"/>
      <c r="B446" s="23"/>
      <c r="C446" s="23"/>
      <c r="D446" s="23"/>
    </row>
    <row r="447" spans="1:4" ht="16">
      <c r="A447" s="23"/>
      <c r="B447" s="23"/>
      <c r="C447" s="23"/>
      <c r="D447" s="23"/>
    </row>
    <row r="448" spans="1:4" ht="16">
      <c r="A448" s="23"/>
      <c r="B448" s="23"/>
      <c r="C448" s="23"/>
      <c r="D448" s="23"/>
    </row>
    <row r="449" spans="1:4" ht="16">
      <c r="A449" s="23"/>
      <c r="B449" s="23"/>
      <c r="C449" s="23"/>
      <c r="D449" s="23"/>
    </row>
    <row r="450" spans="1:4" ht="16">
      <c r="A450" s="23"/>
      <c r="B450" s="23"/>
      <c r="C450" s="23"/>
      <c r="D450" s="23"/>
    </row>
    <row r="451" spans="1:4" ht="16">
      <c r="A451" s="23"/>
      <c r="B451" s="23"/>
      <c r="C451" s="23"/>
      <c r="D451" s="23"/>
    </row>
    <row r="452" spans="1:4" ht="16">
      <c r="A452" s="23"/>
      <c r="B452" s="23"/>
      <c r="C452" s="23"/>
      <c r="D452" s="23"/>
    </row>
    <row r="453" spans="1:4" ht="16">
      <c r="A453" s="23"/>
      <c r="B453" s="23"/>
      <c r="C453" s="23"/>
      <c r="D453" s="23"/>
    </row>
    <row r="454" spans="1:4" ht="16">
      <c r="A454" s="23"/>
      <c r="B454" s="23"/>
      <c r="C454" s="23"/>
      <c r="D454" s="23"/>
    </row>
    <row r="455" spans="1:4" ht="16">
      <c r="A455" s="23"/>
      <c r="B455" s="23"/>
      <c r="C455" s="23"/>
      <c r="D455" s="23"/>
    </row>
    <row r="456" spans="1:4" ht="16">
      <c r="A456" s="23"/>
      <c r="B456" s="23"/>
      <c r="C456" s="23"/>
      <c r="D456" s="23"/>
    </row>
    <row r="457" spans="1:4" ht="16">
      <c r="A457" s="23"/>
      <c r="B457" s="23"/>
      <c r="C457" s="23"/>
      <c r="D457" s="23"/>
    </row>
    <row r="458" spans="1:4" ht="16">
      <c r="A458" s="23"/>
      <c r="B458" s="23"/>
      <c r="C458" s="23"/>
      <c r="D458" s="23"/>
    </row>
    <row r="459" spans="1:4" ht="16">
      <c r="A459" s="23"/>
      <c r="B459" s="23"/>
      <c r="C459" s="23"/>
      <c r="D459" s="23"/>
    </row>
    <row r="460" spans="1:4" ht="16">
      <c r="A460" s="23"/>
      <c r="B460" s="23"/>
      <c r="C460" s="23"/>
      <c r="D460" s="23"/>
    </row>
    <row r="461" spans="1:4" ht="16">
      <c r="A461" s="23"/>
      <c r="B461" s="23"/>
      <c r="C461" s="23"/>
      <c r="D461" s="23"/>
    </row>
    <row r="462" spans="1:4" ht="16">
      <c r="A462" s="23"/>
      <c r="B462" s="23"/>
      <c r="C462" s="23"/>
      <c r="D462" s="23"/>
    </row>
    <row r="463" spans="1:4" ht="16">
      <c r="A463" s="23"/>
      <c r="B463" s="23"/>
      <c r="C463" s="23"/>
      <c r="D463" s="23"/>
    </row>
    <row r="464" spans="1:4" ht="16">
      <c r="A464" s="23"/>
      <c r="B464" s="23"/>
      <c r="C464" s="23"/>
      <c r="D464" s="23"/>
    </row>
    <row r="465" spans="1:4" ht="16">
      <c r="A465" s="23"/>
      <c r="B465" s="23"/>
      <c r="C465" s="23"/>
      <c r="D465" s="23"/>
    </row>
    <row r="466" spans="1:4" ht="16">
      <c r="A466" s="23"/>
      <c r="B466" s="23"/>
      <c r="C466" s="23"/>
      <c r="D466" s="23"/>
    </row>
    <row r="467" spans="1:4" ht="16">
      <c r="A467" s="23"/>
      <c r="B467" s="23"/>
      <c r="C467" s="23"/>
      <c r="D467" s="23"/>
    </row>
    <row r="468" spans="1:4" ht="16">
      <c r="A468" s="23"/>
      <c r="B468" s="23"/>
      <c r="C468" s="23"/>
      <c r="D468" s="23"/>
    </row>
    <row r="469" spans="1:4" ht="16">
      <c r="A469" s="23"/>
      <c r="B469" s="23"/>
      <c r="C469" s="23"/>
      <c r="D469" s="23"/>
    </row>
    <row r="470" spans="1:4" ht="16">
      <c r="A470" s="23"/>
      <c r="B470" s="23"/>
      <c r="C470" s="23"/>
      <c r="D470" s="23"/>
    </row>
    <row r="471" spans="1:4" ht="16">
      <c r="A471" s="23"/>
      <c r="B471" s="23"/>
      <c r="C471" s="23"/>
      <c r="D471" s="23"/>
    </row>
    <row r="472" spans="1:4" ht="16">
      <c r="A472" s="23"/>
      <c r="B472" s="23"/>
      <c r="C472" s="23"/>
      <c r="D472" s="23"/>
    </row>
    <row r="473" spans="1:4" ht="16">
      <c r="A473" s="23"/>
      <c r="B473" s="23"/>
      <c r="C473" s="23"/>
      <c r="D473" s="23"/>
    </row>
    <row r="474" spans="1:4" ht="16">
      <c r="A474" s="23"/>
      <c r="B474" s="23"/>
      <c r="C474" s="23"/>
      <c r="D474" s="23"/>
    </row>
    <row r="475" spans="1:4" ht="16">
      <c r="A475" s="23"/>
      <c r="B475" s="23"/>
      <c r="C475" s="23"/>
      <c r="D475" s="23"/>
    </row>
    <row r="476" spans="1:4" ht="16">
      <c r="A476" s="23"/>
      <c r="B476" s="23"/>
      <c r="C476" s="23"/>
      <c r="D476" s="23"/>
    </row>
    <row r="477" spans="1:4" ht="16">
      <c r="A477" s="23"/>
      <c r="B477" s="23"/>
      <c r="C477" s="23"/>
      <c r="D477" s="23"/>
    </row>
    <row r="478" spans="1:4" ht="16">
      <c r="A478" s="23"/>
      <c r="B478" s="23"/>
      <c r="C478" s="23"/>
      <c r="D478" s="23"/>
    </row>
    <row r="479" spans="1:4" ht="16">
      <c r="A479" s="23"/>
      <c r="B479" s="23"/>
      <c r="C479" s="23"/>
      <c r="D479" s="23"/>
    </row>
    <row r="480" spans="1:4" ht="16">
      <c r="A480" s="23"/>
      <c r="B480" s="23"/>
      <c r="C480" s="23"/>
      <c r="D480" s="23"/>
    </row>
    <row r="481" spans="1:4" ht="16">
      <c r="A481" s="23"/>
      <c r="B481" s="23"/>
      <c r="C481" s="23"/>
      <c r="D481" s="23"/>
    </row>
    <row r="482" spans="1:4" ht="16">
      <c r="A482" s="23"/>
      <c r="B482" s="23"/>
      <c r="C482" s="23"/>
      <c r="D482" s="23"/>
    </row>
    <row r="483" spans="1:4" ht="16">
      <c r="A483" s="23"/>
      <c r="B483" s="23"/>
      <c r="C483" s="23"/>
      <c r="D483" s="23"/>
    </row>
    <row r="484" spans="1:4" ht="16">
      <c r="A484" s="23"/>
      <c r="B484" s="23"/>
      <c r="C484" s="23"/>
      <c r="D484" s="23"/>
    </row>
    <row r="485" spans="1:4" ht="16">
      <c r="A485" s="23"/>
      <c r="B485" s="23"/>
      <c r="C485" s="23"/>
      <c r="D485" s="23"/>
    </row>
    <row r="486" spans="1:4" ht="16">
      <c r="A486" s="23"/>
      <c r="B486" s="23"/>
      <c r="C486" s="23"/>
      <c r="D486" s="23"/>
    </row>
    <row r="487" spans="1:4" ht="16">
      <c r="A487" s="23"/>
      <c r="B487" s="23"/>
      <c r="C487" s="23"/>
      <c r="D487" s="23"/>
    </row>
    <row r="488" spans="1:4" ht="16">
      <c r="A488" s="23"/>
      <c r="B488" s="23"/>
      <c r="C488" s="23"/>
      <c r="D488" s="23"/>
    </row>
    <row r="489" spans="1:4" ht="16">
      <c r="A489" s="23"/>
      <c r="B489" s="23"/>
      <c r="C489" s="23"/>
      <c r="D489" s="23"/>
    </row>
    <row r="490" spans="1:4" ht="16">
      <c r="A490" s="23"/>
      <c r="B490" s="23"/>
      <c r="C490" s="23"/>
      <c r="D490" s="23"/>
    </row>
    <row r="491" spans="1:4" ht="16">
      <c r="A491" s="23"/>
      <c r="B491" s="23"/>
      <c r="C491" s="23"/>
      <c r="D491" s="23"/>
    </row>
    <row r="492" spans="1:4" ht="16">
      <c r="A492" s="23"/>
      <c r="B492" s="23"/>
      <c r="C492" s="23"/>
      <c r="D492" s="23"/>
    </row>
    <row r="493" spans="1:4" ht="16">
      <c r="A493" s="23"/>
      <c r="B493" s="23"/>
      <c r="C493" s="23"/>
      <c r="D493" s="23"/>
    </row>
    <row r="494" spans="1:4" ht="16">
      <c r="A494" s="23"/>
      <c r="B494" s="23"/>
      <c r="C494" s="23"/>
      <c r="D494" s="23"/>
    </row>
    <row r="495" spans="1:4" ht="16">
      <c r="A495" s="23"/>
      <c r="B495" s="23"/>
      <c r="C495" s="23"/>
      <c r="D495" s="23"/>
    </row>
    <row r="496" spans="1:4" ht="16">
      <c r="A496" s="23"/>
      <c r="B496" s="23"/>
      <c r="C496" s="23"/>
      <c r="D496" s="23"/>
    </row>
    <row r="497" spans="1:4" ht="16">
      <c r="A497" s="23"/>
      <c r="B497" s="23"/>
      <c r="C497" s="23"/>
      <c r="D497" s="23"/>
    </row>
    <row r="498" spans="1:4" ht="16">
      <c r="A498" s="23"/>
      <c r="B498" s="23"/>
      <c r="C498" s="23"/>
      <c r="D498" s="23"/>
    </row>
    <row r="499" spans="1:4" ht="16">
      <c r="A499" s="23"/>
      <c r="B499" s="23"/>
      <c r="C499" s="23"/>
      <c r="D499" s="23"/>
    </row>
    <row r="500" spans="1:4" ht="16">
      <c r="A500" s="23"/>
      <c r="B500" s="23"/>
      <c r="C500" s="23"/>
      <c r="D500" s="23"/>
    </row>
    <row r="501" spans="1:4" ht="16">
      <c r="A501" s="23"/>
      <c r="B501" s="23"/>
      <c r="C501" s="23"/>
      <c r="D501" s="23"/>
    </row>
    <row r="502" spans="1:4" ht="16">
      <c r="A502" s="23"/>
      <c r="B502" s="23"/>
      <c r="C502" s="23"/>
      <c r="D502" s="23"/>
    </row>
    <row r="503" spans="1:4" ht="16">
      <c r="A503" s="23"/>
      <c r="B503" s="23"/>
      <c r="C503" s="23"/>
      <c r="D503" s="23"/>
    </row>
    <row r="504" spans="1:4" ht="16">
      <c r="A504" s="23"/>
      <c r="B504" s="23"/>
      <c r="C504" s="23"/>
      <c r="D504" s="23"/>
    </row>
    <row r="505" spans="1:4" ht="16">
      <c r="A505" s="23"/>
      <c r="B505" s="23"/>
      <c r="C505" s="23"/>
      <c r="D505" s="23"/>
    </row>
    <row r="506" spans="1:4" ht="16">
      <c r="A506" s="23"/>
      <c r="B506" s="23"/>
      <c r="C506" s="23"/>
      <c r="D506" s="23"/>
    </row>
    <row r="507" spans="1:4" ht="16">
      <c r="A507" s="23"/>
      <c r="B507" s="23"/>
      <c r="C507" s="23"/>
      <c r="D507" s="23"/>
    </row>
    <row r="508" spans="1:4" ht="16">
      <c r="A508" s="23"/>
      <c r="B508" s="23"/>
      <c r="C508" s="23"/>
      <c r="D508" s="23"/>
    </row>
    <row r="509" spans="1:4" ht="16">
      <c r="A509" s="23"/>
      <c r="B509" s="23"/>
      <c r="C509" s="23"/>
      <c r="D509" s="23"/>
    </row>
    <row r="510" spans="1:4" ht="16">
      <c r="A510" s="23"/>
      <c r="B510" s="23"/>
      <c r="C510" s="23"/>
      <c r="D510" s="23"/>
    </row>
    <row r="511" spans="1:4" ht="16">
      <c r="A511" s="23"/>
      <c r="B511" s="23"/>
      <c r="C511" s="23"/>
      <c r="D511" s="23"/>
    </row>
    <row r="512" spans="1:4" ht="16">
      <c r="A512" s="23"/>
      <c r="B512" s="23"/>
      <c r="C512" s="23"/>
      <c r="D512" s="23"/>
    </row>
    <row r="513" spans="1:4" ht="16">
      <c r="A513" s="23"/>
      <c r="B513" s="23"/>
      <c r="C513" s="23"/>
      <c r="D513" s="23"/>
    </row>
    <row r="514" spans="1:4" ht="16">
      <c r="A514" s="23"/>
      <c r="B514" s="23"/>
      <c r="C514" s="23"/>
      <c r="D514" s="23"/>
    </row>
    <row r="515" spans="1:4" ht="16">
      <c r="A515" s="23"/>
      <c r="B515" s="23"/>
      <c r="C515" s="23"/>
      <c r="D515" s="23"/>
    </row>
    <row r="516" spans="1:4" ht="16">
      <c r="A516" s="23"/>
      <c r="B516" s="23"/>
      <c r="C516" s="23"/>
      <c r="D516" s="23"/>
    </row>
    <row r="517" spans="1:4" ht="16">
      <c r="A517" s="23"/>
      <c r="B517" s="23"/>
      <c r="C517" s="23"/>
      <c r="D517" s="23"/>
    </row>
    <row r="518" spans="1:4" ht="16">
      <c r="A518" s="23"/>
      <c r="B518" s="23"/>
      <c r="C518" s="23"/>
      <c r="D518" s="23"/>
    </row>
    <row r="519" spans="1:4" ht="16">
      <c r="A519" s="23"/>
      <c r="B519" s="23"/>
      <c r="C519" s="23"/>
      <c r="D519" s="23"/>
    </row>
    <row r="520" spans="1:4" ht="16">
      <c r="A520" s="23"/>
      <c r="B520" s="23"/>
      <c r="C520" s="23"/>
      <c r="D520" s="23"/>
    </row>
    <row r="521" spans="1:4" ht="16">
      <c r="A521" s="23"/>
      <c r="B521" s="23"/>
      <c r="C521" s="23"/>
      <c r="D521" s="23"/>
    </row>
    <row r="522" spans="1:4" ht="16">
      <c r="A522" s="23"/>
      <c r="B522" s="23"/>
      <c r="C522" s="23"/>
      <c r="D522" s="23"/>
    </row>
    <row r="523" spans="1:4" ht="16">
      <c r="A523" s="23"/>
      <c r="B523" s="23"/>
      <c r="C523" s="23"/>
      <c r="D523" s="23"/>
    </row>
    <row r="524" spans="1:4" ht="16">
      <c r="A524" s="23"/>
      <c r="B524" s="23"/>
      <c r="C524" s="23"/>
      <c r="D524" s="23"/>
    </row>
    <row r="525" spans="1:4" ht="16">
      <c r="A525" s="23"/>
      <c r="B525" s="23"/>
      <c r="C525" s="23"/>
      <c r="D525" s="23"/>
    </row>
    <row r="526" spans="1:4" ht="16">
      <c r="A526" s="23"/>
      <c r="B526" s="23"/>
      <c r="C526" s="23"/>
      <c r="D526" s="23"/>
    </row>
    <row r="527" spans="1:4" ht="16">
      <c r="A527" s="23"/>
      <c r="B527" s="23"/>
      <c r="C527" s="23"/>
      <c r="D527" s="23"/>
    </row>
    <row r="528" spans="1:4" ht="16">
      <c r="A528" s="23"/>
      <c r="B528" s="23"/>
      <c r="C528" s="23"/>
      <c r="D528" s="23"/>
    </row>
    <row r="529" spans="1:4" ht="16">
      <c r="A529" s="23"/>
      <c r="B529" s="23"/>
      <c r="C529" s="23"/>
      <c r="D529" s="23"/>
    </row>
    <row r="530" spans="1:4" ht="16">
      <c r="A530" s="23"/>
      <c r="B530" s="23"/>
      <c r="C530" s="23"/>
      <c r="D530" s="23"/>
    </row>
    <row r="531" spans="1:4" ht="16">
      <c r="A531" s="23"/>
      <c r="B531" s="23"/>
      <c r="C531" s="23"/>
      <c r="D531" s="23"/>
    </row>
    <row r="532" spans="1:4" ht="16">
      <c r="A532" s="23"/>
      <c r="B532" s="23"/>
      <c r="C532" s="23"/>
      <c r="D532" s="23"/>
    </row>
    <row r="533" spans="1:4" ht="16">
      <c r="A533" s="23"/>
      <c r="B533" s="23"/>
      <c r="C533" s="23"/>
      <c r="D533" s="23"/>
    </row>
    <row r="534" spans="1:4" ht="16">
      <c r="A534" s="23"/>
      <c r="B534" s="23"/>
      <c r="C534" s="23"/>
      <c r="D534" s="23"/>
    </row>
    <row r="535" spans="1:4" ht="16">
      <c r="A535" s="23"/>
      <c r="B535" s="23"/>
      <c r="C535" s="23"/>
      <c r="D535" s="23"/>
    </row>
    <row r="536" spans="1:4" ht="16">
      <c r="A536" s="23"/>
      <c r="B536" s="23"/>
      <c r="C536" s="23"/>
      <c r="D536" s="23"/>
    </row>
    <row r="537" spans="1:4" ht="16">
      <c r="A537" s="23"/>
      <c r="B537" s="23"/>
      <c r="C537" s="23"/>
      <c r="D537" s="23"/>
    </row>
    <row r="538" spans="1:4" ht="16">
      <c r="A538" s="23"/>
      <c r="B538" s="23"/>
      <c r="C538" s="23"/>
      <c r="D538" s="23"/>
    </row>
    <row r="539" spans="1:4" ht="16">
      <c r="A539" s="23"/>
      <c r="B539" s="23"/>
      <c r="C539" s="23"/>
      <c r="D539" s="23"/>
    </row>
    <row r="540" spans="1:4" ht="16">
      <c r="A540" s="23"/>
      <c r="B540" s="23"/>
      <c r="C540" s="23"/>
      <c r="D540" s="23"/>
    </row>
    <row r="541" spans="1:4" ht="16">
      <c r="A541" s="23"/>
      <c r="B541" s="23"/>
      <c r="C541" s="23"/>
      <c r="D541" s="23"/>
    </row>
    <row r="542" spans="1:4" ht="16">
      <c r="A542" s="23"/>
      <c r="B542" s="23"/>
      <c r="C542" s="23"/>
      <c r="D542" s="23"/>
    </row>
    <row r="543" spans="1:4" ht="16">
      <c r="A543" s="23"/>
      <c r="B543" s="23"/>
      <c r="C543" s="23"/>
      <c r="D543" s="23"/>
    </row>
    <row r="544" spans="1:4" ht="16">
      <c r="A544" s="23"/>
      <c r="B544" s="23"/>
      <c r="C544" s="23"/>
      <c r="D544" s="23"/>
    </row>
    <row r="545" spans="1:4" ht="16">
      <c r="A545" s="23"/>
      <c r="B545" s="23"/>
      <c r="C545" s="23"/>
      <c r="D545" s="23"/>
    </row>
    <row r="546" spans="1:4" ht="16">
      <c r="A546" s="23"/>
      <c r="B546" s="23"/>
      <c r="C546" s="23"/>
      <c r="D546" s="23"/>
    </row>
    <row r="547" spans="1:4" ht="16">
      <c r="A547" s="23"/>
      <c r="B547" s="23"/>
      <c r="C547" s="23"/>
      <c r="D547" s="23"/>
    </row>
    <row r="548" spans="1:4" ht="16">
      <c r="A548" s="23"/>
      <c r="B548" s="23"/>
      <c r="C548" s="23"/>
      <c r="D548" s="23"/>
    </row>
    <row r="549" spans="1:4" ht="16">
      <c r="A549" s="23"/>
      <c r="B549" s="23"/>
      <c r="C549" s="23"/>
      <c r="D549" s="23"/>
    </row>
    <row r="550" spans="1:4" ht="16">
      <c r="A550" s="23"/>
      <c r="B550" s="23"/>
      <c r="C550" s="23"/>
      <c r="D550" s="23"/>
    </row>
    <row r="551" spans="1:4" ht="16">
      <c r="A551" s="23"/>
      <c r="B551" s="23"/>
      <c r="C551" s="23"/>
      <c r="D551" s="23"/>
    </row>
    <row r="552" spans="1:4" ht="16">
      <c r="A552" s="23"/>
      <c r="B552" s="23"/>
      <c r="C552" s="23"/>
      <c r="D552" s="23"/>
    </row>
    <row r="553" spans="1:4" ht="16">
      <c r="A553" s="23"/>
      <c r="B553" s="23"/>
      <c r="C553" s="23"/>
      <c r="D553" s="23"/>
    </row>
    <row r="554" spans="1:4" ht="16">
      <c r="A554" s="23"/>
      <c r="B554" s="23"/>
      <c r="C554" s="23"/>
      <c r="D554" s="23"/>
    </row>
    <row r="555" spans="1:4" ht="16">
      <c r="A555" s="23"/>
      <c r="B555" s="23"/>
      <c r="C555" s="23"/>
      <c r="D555" s="23"/>
    </row>
    <row r="556" spans="1:4" ht="16">
      <c r="A556" s="23"/>
      <c r="B556" s="23"/>
      <c r="C556" s="23"/>
      <c r="D556" s="23"/>
    </row>
    <row r="557" spans="1:4" ht="16">
      <c r="A557" s="23"/>
      <c r="B557" s="23"/>
      <c r="C557" s="23"/>
      <c r="D557" s="23"/>
    </row>
    <row r="558" spans="1:4" ht="16">
      <c r="A558" s="23"/>
      <c r="B558" s="23"/>
      <c r="C558" s="23"/>
      <c r="D558" s="23"/>
    </row>
    <row r="559" spans="1:4" ht="16">
      <c r="A559" s="23"/>
      <c r="B559" s="23"/>
      <c r="C559" s="23"/>
      <c r="D559" s="23"/>
    </row>
    <row r="560" spans="1:4" ht="16">
      <c r="A560" s="23"/>
      <c r="B560" s="23"/>
      <c r="C560" s="23"/>
      <c r="D560" s="23"/>
    </row>
    <row r="561" spans="1:4" ht="16">
      <c r="A561" s="23"/>
      <c r="B561" s="23"/>
      <c r="C561" s="23"/>
      <c r="D561" s="23"/>
    </row>
    <row r="562" spans="1:4" ht="16">
      <c r="A562" s="23"/>
      <c r="B562" s="23"/>
      <c r="C562" s="23"/>
      <c r="D562" s="23"/>
    </row>
    <row r="563" spans="1:4" ht="16">
      <c r="A563" s="23"/>
      <c r="B563" s="23"/>
      <c r="C563" s="23"/>
      <c r="D563" s="23"/>
    </row>
    <row r="564" spans="1:4" ht="16">
      <c r="A564" s="23"/>
      <c r="B564" s="23"/>
      <c r="C564" s="23"/>
      <c r="D564" s="23"/>
    </row>
    <row r="565" spans="1:4" ht="16">
      <c r="A565" s="23"/>
      <c r="B565" s="23"/>
      <c r="C565" s="23"/>
      <c r="D565" s="23"/>
    </row>
    <row r="566" spans="1:4" ht="16">
      <c r="A566" s="23"/>
      <c r="B566" s="23"/>
      <c r="C566" s="23"/>
      <c r="D566" s="23"/>
    </row>
    <row r="567" spans="1:4" ht="16">
      <c r="A567" s="23"/>
      <c r="B567" s="23"/>
      <c r="C567" s="23"/>
      <c r="D567" s="23"/>
    </row>
    <row r="568" spans="1:4" ht="16">
      <c r="A568" s="23"/>
      <c r="B568" s="23"/>
      <c r="C568" s="23"/>
      <c r="D568" s="23"/>
    </row>
    <row r="569" spans="1:4" ht="16">
      <c r="A569" s="23"/>
      <c r="B569" s="23"/>
      <c r="C569" s="23"/>
      <c r="D569" s="23"/>
    </row>
    <row r="570" spans="1:4" ht="16">
      <c r="A570" s="23"/>
      <c r="B570" s="23"/>
      <c r="C570" s="23"/>
      <c r="D570" s="23"/>
    </row>
    <row r="571" spans="1:4" ht="16">
      <c r="A571" s="23"/>
      <c r="B571" s="23"/>
      <c r="C571" s="23"/>
      <c r="D571" s="23"/>
    </row>
    <row r="572" spans="1:4" ht="16">
      <c r="A572" s="23"/>
      <c r="B572" s="23"/>
      <c r="C572" s="23"/>
      <c r="D572" s="23"/>
    </row>
    <row r="573" spans="1:4" ht="16">
      <c r="A573" s="23"/>
      <c r="B573" s="23"/>
      <c r="C573" s="23"/>
      <c r="D573" s="23"/>
    </row>
    <row r="574" spans="1:4" ht="16">
      <c r="A574" s="23"/>
      <c r="B574" s="23"/>
      <c r="C574" s="23"/>
      <c r="D574" s="23"/>
    </row>
    <row r="575" spans="1:4" ht="16">
      <c r="A575" s="23"/>
      <c r="B575" s="23"/>
      <c r="C575" s="23"/>
      <c r="D575" s="23"/>
    </row>
    <row r="576" spans="1:4" ht="16">
      <c r="A576" s="23"/>
      <c r="B576" s="23"/>
      <c r="C576" s="23"/>
      <c r="D576" s="23"/>
    </row>
    <row r="577" spans="1:4" ht="16">
      <c r="A577" s="23"/>
      <c r="B577" s="23"/>
      <c r="C577" s="23"/>
      <c r="D577" s="23"/>
    </row>
    <row r="578" spans="1:4" ht="16">
      <c r="A578" s="23"/>
      <c r="B578" s="23"/>
      <c r="C578" s="23"/>
      <c r="D578" s="23"/>
    </row>
    <row r="579" spans="1:4" ht="16">
      <c r="A579" s="23"/>
      <c r="B579" s="23"/>
      <c r="C579" s="23"/>
      <c r="D579" s="23"/>
    </row>
    <row r="580" spans="1:4" ht="16">
      <c r="A580" s="23"/>
      <c r="B580" s="23"/>
      <c r="C580" s="23"/>
      <c r="D580" s="23"/>
    </row>
    <row r="581" spans="1:4" ht="16">
      <c r="A581" s="23"/>
      <c r="B581" s="23"/>
      <c r="C581" s="23"/>
      <c r="D581" s="23"/>
    </row>
    <row r="582" spans="1:4" ht="16">
      <c r="A582" s="23"/>
      <c r="B582" s="23"/>
      <c r="C582" s="23"/>
      <c r="D582" s="23"/>
    </row>
    <row r="583" spans="1:4" ht="16">
      <c r="A583" s="23"/>
      <c r="B583" s="23"/>
      <c r="C583" s="23"/>
      <c r="D583" s="23"/>
    </row>
    <row r="584" spans="1:4" ht="16">
      <c r="A584" s="23"/>
      <c r="B584" s="23"/>
      <c r="C584" s="23"/>
      <c r="D584" s="23"/>
    </row>
    <row r="585" spans="1:4" ht="16">
      <c r="A585" s="23"/>
      <c r="B585" s="23"/>
      <c r="C585" s="23"/>
      <c r="D585" s="23"/>
    </row>
    <row r="586" spans="1:4" ht="16">
      <c r="A586" s="23"/>
      <c r="B586" s="23"/>
      <c r="C586" s="23"/>
      <c r="D586" s="23"/>
    </row>
    <row r="587" spans="1:4" ht="16">
      <c r="A587" s="23"/>
      <c r="B587" s="23"/>
      <c r="C587" s="23"/>
      <c r="D587" s="23"/>
    </row>
    <row r="588" spans="1:4" ht="16">
      <c r="A588" s="23"/>
      <c r="B588" s="23"/>
      <c r="C588" s="23"/>
      <c r="D588" s="23"/>
    </row>
    <row r="589" spans="1:4" ht="16">
      <c r="A589" s="23"/>
      <c r="B589" s="23"/>
      <c r="C589" s="23"/>
      <c r="D589" s="23"/>
    </row>
    <row r="590" spans="1:4" ht="16">
      <c r="A590" s="23"/>
      <c r="B590" s="23"/>
      <c r="C590" s="23"/>
      <c r="D590" s="23"/>
    </row>
    <row r="591" spans="1:4" ht="16">
      <c r="A591" s="23"/>
      <c r="B591" s="23"/>
      <c r="C591" s="23"/>
      <c r="D591" s="23"/>
    </row>
    <row r="592" spans="1:4" ht="16">
      <c r="A592" s="23"/>
      <c r="B592" s="23"/>
      <c r="C592" s="23"/>
      <c r="D592" s="23"/>
    </row>
    <row r="593" spans="1:4" ht="16">
      <c r="A593" s="23"/>
      <c r="B593" s="23"/>
      <c r="C593" s="23"/>
      <c r="D593" s="23"/>
    </row>
    <row r="594" spans="1:4" ht="16">
      <c r="A594" s="23"/>
      <c r="B594" s="23"/>
      <c r="C594" s="23"/>
      <c r="D594" s="23"/>
    </row>
    <row r="595" spans="1:4" ht="16">
      <c r="A595" s="23"/>
      <c r="B595" s="23"/>
      <c r="C595" s="23"/>
      <c r="D595" s="23"/>
    </row>
    <row r="596" spans="1:4" ht="16">
      <c r="A596" s="23"/>
      <c r="B596" s="23"/>
      <c r="C596" s="23"/>
      <c r="D596" s="23"/>
    </row>
    <row r="597" spans="1:4" ht="16">
      <c r="A597" s="23"/>
      <c r="B597" s="23"/>
      <c r="C597" s="23"/>
      <c r="D597" s="23"/>
    </row>
    <row r="598" spans="1:4" ht="16">
      <c r="A598" s="23"/>
      <c r="B598" s="23"/>
      <c r="C598" s="23"/>
      <c r="D598" s="23"/>
    </row>
    <row r="599" spans="1:4" ht="16">
      <c r="A599" s="23"/>
      <c r="B599" s="23"/>
      <c r="C599" s="23"/>
      <c r="D599" s="23"/>
    </row>
    <row r="600" spans="1:4" ht="16">
      <c r="A600" s="23"/>
      <c r="B600" s="23"/>
      <c r="C600" s="23"/>
      <c r="D600" s="23"/>
    </row>
    <row r="601" spans="1:4" ht="16">
      <c r="A601" s="23"/>
      <c r="B601" s="23"/>
      <c r="C601" s="23"/>
      <c r="D601" s="23"/>
    </row>
    <row r="602" spans="1:4" ht="16">
      <c r="A602" s="23"/>
      <c r="B602" s="23"/>
      <c r="C602" s="23"/>
      <c r="D602" s="23"/>
    </row>
    <row r="603" spans="1:4" ht="16">
      <c r="A603" s="23"/>
      <c r="B603" s="23"/>
      <c r="C603" s="23"/>
      <c r="D603" s="23"/>
    </row>
    <row r="604" spans="1:4" ht="16">
      <c r="A604" s="23"/>
      <c r="B604" s="23"/>
      <c r="C604" s="23"/>
      <c r="D604" s="23"/>
    </row>
    <row r="605" spans="1:4" ht="16">
      <c r="A605" s="23"/>
      <c r="B605" s="23"/>
      <c r="C605" s="23"/>
      <c r="D605" s="23"/>
    </row>
    <row r="606" spans="1:4" ht="16">
      <c r="A606" s="23"/>
      <c r="B606" s="23"/>
      <c r="C606" s="23"/>
      <c r="D606" s="23"/>
    </row>
    <row r="607" spans="1:4" ht="16">
      <c r="A607" s="23"/>
      <c r="B607" s="23"/>
      <c r="C607" s="23"/>
      <c r="D607" s="23"/>
    </row>
    <row r="608" spans="1:4" ht="16">
      <c r="A608" s="23"/>
      <c r="B608" s="23"/>
      <c r="C608" s="23"/>
      <c r="D608" s="23"/>
    </row>
    <row r="609" spans="1:4" ht="16">
      <c r="A609" s="23"/>
      <c r="B609" s="23"/>
      <c r="C609" s="23"/>
      <c r="D609" s="23"/>
    </row>
    <row r="610" spans="1:4" ht="16">
      <c r="A610" s="23"/>
      <c r="B610" s="23"/>
      <c r="C610" s="23"/>
      <c r="D610" s="23"/>
    </row>
    <row r="611" spans="1:4" ht="16">
      <c r="A611" s="23"/>
      <c r="B611" s="23"/>
      <c r="C611" s="23"/>
      <c r="D611" s="23"/>
    </row>
    <row r="612" spans="1:4" ht="16">
      <c r="A612" s="23"/>
      <c r="B612" s="23"/>
      <c r="C612" s="23"/>
      <c r="D612" s="23"/>
    </row>
    <row r="613" spans="1:4" ht="16">
      <c r="A613" s="23"/>
      <c r="B613" s="23"/>
      <c r="C613" s="23"/>
      <c r="D613" s="23"/>
    </row>
    <row r="614" spans="1:4" ht="16">
      <c r="A614" s="23"/>
      <c r="B614" s="23"/>
      <c r="C614" s="23"/>
      <c r="D614" s="23"/>
    </row>
    <row r="615" spans="1:4" ht="16">
      <c r="A615" s="23"/>
      <c r="B615" s="23"/>
      <c r="C615" s="23"/>
      <c r="D615" s="23"/>
    </row>
    <row r="616" spans="1:4" ht="16">
      <c r="A616" s="23"/>
      <c r="B616" s="23"/>
      <c r="C616" s="23"/>
      <c r="D616" s="23"/>
    </row>
    <row r="617" spans="1:4" ht="16">
      <c r="A617" s="23"/>
      <c r="B617" s="23"/>
      <c r="C617" s="23"/>
      <c r="D617" s="23"/>
    </row>
    <row r="618" spans="1:4" ht="16">
      <c r="A618" s="23"/>
      <c r="B618" s="23"/>
      <c r="C618" s="23"/>
      <c r="D618" s="23"/>
    </row>
    <row r="619" spans="1:4" ht="16">
      <c r="A619" s="23"/>
      <c r="B619" s="23"/>
      <c r="C619" s="23"/>
      <c r="D619" s="23"/>
    </row>
    <row r="620" spans="1:4" ht="16">
      <c r="A620" s="23"/>
      <c r="B620" s="23"/>
      <c r="C620" s="23"/>
      <c r="D620" s="23"/>
    </row>
    <row r="621" spans="1:4" ht="16">
      <c r="A621" s="23"/>
      <c r="B621" s="23"/>
      <c r="C621" s="23"/>
      <c r="D621" s="23"/>
    </row>
    <row r="622" spans="1:4" ht="16">
      <c r="A622" s="23"/>
      <c r="B622" s="23"/>
      <c r="C622" s="23"/>
      <c r="D622" s="23"/>
    </row>
    <row r="623" spans="1:4" ht="16">
      <c r="A623" s="23"/>
      <c r="B623" s="23"/>
      <c r="C623" s="23"/>
      <c r="D623" s="23"/>
    </row>
    <row r="624" spans="1:4" ht="16">
      <c r="A624" s="23"/>
      <c r="B624" s="23"/>
      <c r="C624" s="23"/>
      <c r="D624" s="23"/>
    </row>
    <row r="625" spans="1:4" ht="16">
      <c r="A625" s="23"/>
      <c r="B625" s="23"/>
      <c r="C625" s="23"/>
      <c r="D625" s="23"/>
    </row>
    <row r="626" spans="1:4" ht="16">
      <c r="A626" s="23"/>
      <c r="B626" s="23"/>
      <c r="C626" s="23"/>
      <c r="D626" s="23"/>
    </row>
    <row r="627" spans="1:4" ht="16">
      <c r="A627" s="23"/>
      <c r="B627" s="23"/>
      <c r="C627" s="23"/>
      <c r="D627" s="23"/>
    </row>
    <row r="628" spans="1:4" ht="16">
      <c r="A628" s="23"/>
      <c r="B628" s="23"/>
      <c r="C628" s="23"/>
      <c r="D628" s="23"/>
    </row>
    <row r="629" spans="1:4" ht="16">
      <c r="A629" s="23"/>
      <c r="B629" s="23"/>
      <c r="C629" s="23"/>
      <c r="D629" s="23"/>
    </row>
    <row r="630" spans="1:4" ht="16">
      <c r="A630" s="23"/>
      <c r="B630" s="23"/>
      <c r="C630" s="23"/>
      <c r="D630" s="23"/>
    </row>
    <row r="631" spans="1:4" ht="16">
      <c r="A631" s="23"/>
      <c r="B631" s="23"/>
      <c r="C631" s="23"/>
      <c r="D631" s="23"/>
    </row>
    <row r="632" spans="1:4" ht="16">
      <c r="A632" s="23"/>
      <c r="B632" s="23"/>
      <c r="C632" s="23"/>
      <c r="D632" s="23"/>
    </row>
    <row r="633" spans="1:4" ht="16">
      <c r="A633" s="23"/>
      <c r="B633" s="23"/>
      <c r="C633" s="23"/>
      <c r="D633" s="23"/>
    </row>
    <row r="634" spans="1:4" ht="16">
      <c r="A634" s="23"/>
      <c r="B634" s="23"/>
      <c r="C634" s="23"/>
      <c r="D634" s="23"/>
    </row>
    <row r="635" spans="1:4" ht="16">
      <c r="A635" s="23"/>
      <c r="B635" s="23"/>
      <c r="C635" s="23"/>
      <c r="D635" s="23"/>
    </row>
    <row r="636" spans="1:4" ht="16">
      <c r="A636" s="23"/>
      <c r="B636" s="23"/>
      <c r="C636" s="23"/>
      <c r="D636" s="23"/>
    </row>
    <row r="637" spans="1:4" ht="16">
      <c r="A637" s="23"/>
      <c r="B637" s="23"/>
      <c r="C637" s="23"/>
      <c r="D637" s="23"/>
    </row>
    <row r="638" spans="1:4" ht="16">
      <c r="A638" s="23"/>
      <c r="B638" s="23"/>
      <c r="C638" s="23"/>
      <c r="D638" s="23"/>
    </row>
    <row r="639" spans="1:4" ht="16">
      <c r="A639" s="23"/>
      <c r="B639" s="23"/>
      <c r="C639" s="23"/>
      <c r="D639" s="23"/>
    </row>
    <row r="640" spans="1:4" ht="16">
      <c r="A640" s="23"/>
      <c r="B640" s="23"/>
      <c r="C640" s="23"/>
      <c r="D640" s="23"/>
    </row>
    <row r="641" spans="1:4" ht="16">
      <c r="A641" s="23"/>
      <c r="B641" s="23"/>
      <c r="C641" s="23"/>
      <c r="D641" s="23"/>
    </row>
    <row r="642" spans="1:4" ht="16">
      <c r="A642" s="23"/>
      <c r="B642" s="23"/>
      <c r="C642" s="23"/>
      <c r="D642" s="23"/>
    </row>
    <row r="643" spans="1:4" ht="16">
      <c r="A643" s="23"/>
      <c r="B643" s="23"/>
      <c r="C643" s="23"/>
      <c r="D643" s="23"/>
    </row>
    <row r="644" spans="1:4" ht="16">
      <c r="A644" s="23"/>
      <c r="B644" s="23"/>
      <c r="C644" s="23"/>
      <c r="D644" s="23"/>
    </row>
    <row r="645" spans="1:4" ht="16">
      <c r="A645" s="23"/>
      <c r="B645" s="23"/>
      <c r="C645" s="23"/>
      <c r="D645" s="23"/>
    </row>
    <row r="646" spans="1:4" ht="16">
      <c r="A646" s="23"/>
      <c r="B646" s="23"/>
      <c r="C646" s="23"/>
      <c r="D646" s="23"/>
    </row>
    <row r="647" spans="1:4" ht="16">
      <c r="A647" s="23"/>
      <c r="B647" s="23"/>
      <c r="C647" s="23"/>
      <c r="D647" s="23"/>
    </row>
    <row r="648" spans="1:4" ht="16">
      <c r="A648" s="23"/>
      <c r="B648" s="23"/>
      <c r="C648" s="23"/>
      <c r="D648" s="23"/>
    </row>
    <row r="649" spans="1:4" ht="16">
      <c r="A649" s="23"/>
      <c r="B649" s="23"/>
      <c r="C649" s="23"/>
      <c r="D649" s="23"/>
    </row>
    <row r="650" spans="1:4" ht="16">
      <c r="A650" s="23"/>
      <c r="B650" s="23"/>
      <c r="C650" s="23"/>
      <c r="D650" s="23"/>
    </row>
    <row r="651" spans="1:4" ht="16">
      <c r="A651" s="23"/>
      <c r="B651" s="23"/>
      <c r="C651" s="23"/>
      <c r="D651" s="23"/>
    </row>
    <row r="652" spans="1:4" ht="16">
      <c r="A652" s="23"/>
      <c r="B652" s="23"/>
      <c r="C652" s="23"/>
      <c r="D652" s="23"/>
    </row>
    <row r="653" spans="1:4" ht="16">
      <c r="A653" s="23"/>
      <c r="B653" s="23"/>
      <c r="C653" s="23"/>
      <c r="D653" s="23"/>
    </row>
    <row r="654" spans="1:4" ht="16">
      <c r="A654" s="23"/>
      <c r="B654" s="23"/>
      <c r="C654" s="23"/>
      <c r="D654" s="23"/>
    </row>
    <row r="655" spans="1:4" ht="16">
      <c r="A655" s="23"/>
      <c r="B655" s="23"/>
      <c r="C655" s="23"/>
      <c r="D655" s="23"/>
    </row>
    <row r="656" spans="1:4" ht="16">
      <c r="A656" s="23"/>
      <c r="B656" s="23"/>
      <c r="C656" s="23"/>
      <c r="D656" s="23"/>
    </row>
    <row r="657" spans="1:4" ht="16">
      <c r="A657" s="23"/>
      <c r="B657" s="23"/>
      <c r="C657" s="23"/>
      <c r="D657" s="23"/>
    </row>
    <row r="658" spans="1:4" ht="16">
      <c r="A658" s="23"/>
      <c r="B658" s="23"/>
      <c r="C658" s="23"/>
      <c r="D658" s="23"/>
    </row>
    <row r="659" spans="1:4" ht="16">
      <c r="A659" s="23"/>
      <c r="B659" s="23"/>
      <c r="C659" s="23"/>
      <c r="D659" s="23"/>
    </row>
    <row r="660" spans="1:4" ht="16">
      <c r="A660" s="23"/>
      <c r="B660" s="23"/>
      <c r="C660" s="23"/>
      <c r="D660" s="23"/>
    </row>
    <row r="661" spans="1:4" ht="16">
      <c r="A661" s="23"/>
      <c r="B661" s="23"/>
      <c r="C661" s="23"/>
      <c r="D661" s="23"/>
    </row>
    <row r="662" spans="1:4" ht="16">
      <c r="A662" s="23"/>
      <c r="B662" s="23"/>
      <c r="C662" s="23"/>
      <c r="D662" s="23"/>
    </row>
    <row r="663" spans="1:4" ht="16">
      <c r="A663" s="23"/>
      <c r="B663" s="23"/>
      <c r="C663" s="23"/>
      <c r="D663" s="23"/>
    </row>
    <row r="664" spans="1:4" ht="16">
      <c r="A664" s="23"/>
      <c r="B664" s="23"/>
      <c r="C664" s="23"/>
      <c r="D664" s="23"/>
    </row>
    <row r="665" spans="1:4" ht="16">
      <c r="A665" s="23"/>
      <c r="B665" s="23"/>
      <c r="C665" s="23"/>
      <c r="D665" s="23"/>
    </row>
    <row r="666" spans="1:4" ht="16">
      <c r="A666" s="23"/>
      <c r="B666" s="23"/>
      <c r="C666" s="23"/>
      <c r="D666" s="23"/>
    </row>
    <row r="667" spans="1:4" ht="16">
      <c r="A667" s="23"/>
      <c r="B667" s="23"/>
      <c r="C667" s="23"/>
      <c r="D667" s="23"/>
    </row>
    <row r="668" spans="1:4" ht="16">
      <c r="A668" s="23"/>
      <c r="B668" s="23"/>
      <c r="C668" s="23"/>
      <c r="D668" s="23"/>
    </row>
    <row r="669" spans="1:4" ht="16">
      <c r="A669" s="23"/>
      <c r="B669" s="23"/>
      <c r="C669" s="23"/>
      <c r="D669" s="23"/>
    </row>
    <row r="670" spans="1:4" ht="16">
      <c r="A670" s="23"/>
      <c r="B670" s="23"/>
      <c r="C670" s="23"/>
      <c r="D670" s="23"/>
    </row>
    <row r="671" spans="1:4" ht="16">
      <c r="A671" s="23"/>
      <c r="B671" s="23"/>
      <c r="C671" s="23"/>
      <c r="D671" s="23"/>
    </row>
    <row r="672" spans="1:4" ht="16">
      <c r="A672" s="23"/>
      <c r="B672" s="23"/>
      <c r="C672" s="23"/>
      <c r="D672" s="23"/>
    </row>
    <row r="673" spans="1:4" ht="16">
      <c r="A673" s="23"/>
      <c r="B673" s="23"/>
      <c r="C673" s="23"/>
      <c r="D673" s="23"/>
    </row>
    <row r="674" spans="1:4" ht="16">
      <c r="A674" s="23"/>
      <c r="B674" s="23"/>
      <c r="C674" s="23"/>
      <c r="D674" s="23"/>
    </row>
    <row r="675" spans="1:4" ht="16">
      <c r="A675" s="23"/>
      <c r="B675" s="23"/>
      <c r="C675" s="23"/>
      <c r="D675" s="23"/>
    </row>
    <row r="676" spans="1:4" ht="16">
      <c r="A676" s="23"/>
      <c r="B676" s="23"/>
      <c r="C676" s="23"/>
      <c r="D676" s="23"/>
    </row>
    <row r="677" spans="1:4" ht="16">
      <c r="A677" s="23"/>
      <c r="B677" s="23"/>
      <c r="C677" s="23"/>
      <c r="D677" s="23"/>
    </row>
    <row r="678" spans="1:4" ht="16">
      <c r="A678" s="23"/>
      <c r="B678" s="23"/>
      <c r="C678" s="23"/>
      <c r="D678" s="23"/>
    </row>
    <row r="679" spans="1:4" ht="16">
      <c r="A679" s="23"/>
      <c r="B679" s="23"/>
      <c r="C679" s="23"/>
      <c r="D679" s="23"/>
    </row>
    <row r="680" spans="1:4" ht="16">
      <c r="A680" s="23"/>
      <c r="B680" s="23"/>
      <c r="C680" s="23"/>
      <c r="D680" s="23"/>
    </row>
    <row r="681" spans="1:4" ht="16">
      <c r="A681" s="23"/>
      <c r="B681" s="23"/>
      <c r="C681" s="23"/>
      <c r="D681" s="23"/>
    </row>
    <row r="682" spans="1:4" ht="16">
      <c r="A682" s="23"/>
      <c r="B682" s="23"/>
      <c r="C682" s="23"/>
      <c r="D682" s="23"/>
    </row>
    <row r="683" spans="1:4" ht="16">
      <c r="A683" s="23"/>
      <c r="B683" s="23"/>
      <c r="C683" s="23"/>
      <c r="D683" s="23"/>
    </row>
    <row r="684" spans="1:4" ht="16">
      <c r="A684" s="23"/>
      <c r="B684" s="23"/>
      <c r="C684" s="23"/>
      <c r="D684" s="23"/>
    </row>
    <row r="685" spans="1:4" ht="16">
      <c r="A685" s="23"/>
      <c r="B685" s="23"/>
      <c r="C685" s="23"/>
      <c r="D685" s="23"/>
    </row>
    <row r="686" spans="1:4" ht="16">
      <c r="A686" s="23"/>
      <c r="B686" s="23"/>
      <c r="C686" s="23"/>
      <c r="D686" s="23"/>
    </row>
    <row r="687" spans="1:4" ht="16">
      <c r="A687" s="23"/>
      <c r="B687" s="23"/>
      <c r="C687" s="23"/>
      <c r="D687" s="23"/>
    </row>
    <row r="688" spans="1:4" ht="16">
      <c r="A688" s="23"/>
      <c r="B688" s="23"/>
      <c r="C688" s="23"/>
      <c r="D688" s="23"/>
    </row>
    <row r="689" spans="1:4" ht="16">
      <c r="A689" s="23"/>
      <c r="B689" s="23"/>
      <c r="C689" s="23"/>
      <c r="D689" s="23"/>
    </row>
    <row r="690" spans="1:4" ht="16">
      <c r="A690" s="23"/>
      <c r="B690" s="23"/>
      <c r="C690" s="23"/>
      <c r="D690" s="23"/>
    </row>
    <row r="691" spans="1:4" ht="16">
      <c r="A691" s="23"/>
      <c r="B691" s="23"/>
      <c r="C691" s="23"/>
      <c r="D691" s="23"/>
    </row>
    <row r="692" spans="1:4" ht="16">
      <c r="A692" s="23"/>
      <c r="B692" s="23"/>
      <c r="C692" s="23"/>
      <c r="D692" s="23"/>
    </row>
    <row r="693" spans="1:4" ht="16">
      <c r="A693" s="23"/>
      <c r="B693" s="23"/>
      <c r="C693" s="23"/>
      <c r="D693" s="23"/>
    </row>
    <row r="694" spans="1:4" ht="16">
      <c r="A694" s="23"/>
      <c r="B694" s="23"/>
      <c r="C694" s="23"/>
      <c r="D694" s="23"/>
    </row>
    <row r="695" spans="1:4" ht="16">
      <c r="A695" s="23"/>
      <c r="B695" s="23"/>
      <c r="C695" s="23"/>
      <c r="D695" s="23"/>
    </row>
    <row r="696" spans="1:4" ht="16">
      <c r="A696" s="23"/>
      <c r="B696" s="23"/>
      <c r="C696" s="23"/>
      <c r="D696" s="23"/>
    </row>
    <row r="697" spans="1:4" ht="16">
      <c r="A697" s="23"/>
      <c r="B697" s="23"/>
      <c r="C697" s="23"/>
      <c r="D697" s="23"/>
    </row>
    <row r="698" spans="1:4" ht="16">
      <c r="A698" s="23"/>
      <c r="B698" s="23"/>
      <c r="C698" s="23"/>
      <c r="D698" s="23"/>
    </row>
    <row r="699" spans="1:4" ht="16">
      <c r="A699" s="23"/>
      <c r="B699" s="23"/>
      <c r="C699" s="23"/>
      <c r="D699" s="23"/>
    </row>
    <row r="700" spans="1:4" ht="16">
      <c r="A700" s="23"/>
      <c r="B700" s="23"/>
      <c r="C700" s="23"/>
      <c r="D700" s="23"/>
    </row>
    <row r="701" spans="1:4" ht="16">
      <c r="A701" s="23"/>
      <c r="B701" s="23"/>
      <c r="C701" s="23"/>
      <c r="D701" s="23"/>
    </row>
    <row r="702" spans="1:4" ht="16">
      <c r="A702" s="23"/>
      <c r="B702" s="23"/>
      <c r="C702" s="23"/>
      <c r="D702" s="23"/>
    </row>
    <row r="703" spans="1:4" ht="16">
      <c r="A703" s="23"/>
      <c r="B703" s="23"/>
      <c r="C703" s="23"/>
      <c r="D703" s="23"/>
    </row>
    <row r="704" spans="1:4" ht="16">
      <c r="A704" s="23"/>
      <c r="B704" s="23"/>
      <c r="C704" s="23"/>
      <c r="D704" s="23"/>
    </row>
    <row r="705" spans="1:4" ht="16">
      <c r="A705" s="23"/>
      <c r="B705" s="23"/>
      <c r="C705" s="23"/>
      <c r="D705" s="23"/>
    </row>
    <row r="706" spans="1:4" ht="16">
      <c r="A706" s="23"/>
      <c r="B706" s="23"/>
      <c r="C706" s="23"/>
      <c r="D706" s="23"/>
    </row>
    <row r="707" spans="1:4" ht="16">
      <c r="A707" s="23"/>
      <c r="B707" s="23"/>
      <c r="C707" s="23"/>
      <c r="D707" s="23"/>
    </row>
    <row r="708" spans="1:4" ht="16">
      <c r="A708" s="23"/>
      <c r="B708" s="23"/>
      <c r="C708" s="23"/>
      <c r="D708" s="23"/>
    </row>
    <row r="709" spans="1:4" ht="16">
      <c r="A709" s="23"/>
      <c r="B709" s="23"/>
      <c r="C709" s="23"/>
      <c r="D709" s="23"/>
    </row>
    <row r="710" spans="1:4" ht="16">
      <c r="A710" s="23"/>
      <c r="B710" s="23"/>
      <c r="C710" s="23"/>
      <c r="D710" s="23"/>
    </row>
    <row r="711" spans="1:4" ht="16">
      <c r="A711" s="23"/>
      <c r="B711" s="23"/>
      <c r="C711" s="23"/>
      <c r="D711" s="23"/>
    </row>
    <row r="712" spans="1:4" ht="16">
      <c r="A712" s="23"/>
      <c r="B712" s="23"/>
      <c r="C712" s="23"/>
      <c r="D712" s="23"/>
    </row>
    <row r="713" spans="1:4" ht="16">
      <c r="A713" s="23"/>
      <c r="B713" s="23"/>
      <c r="C713" s="23"/>
      <c r="D713" s="23"/>
    </row>
    <row r="714" spans="1:4" ht="16">
      <c r="A714" s="23"/>
      <c r="B714" s="23"/>
      <c r="C714" s="23"/>
      <c r="D714" s="23"/>
    </row>
    <row r="715" spans="1:4" ht="16">
      <c r="A715" s="23"/>
      <c r="B715" s="23"/>
      <c r="C715" s="23"/>
      <c r="D715" s="23"/>
    </row>
    <row r="716" spans="1:4" ht="16">
      <c r="A716" s="23"/>
      <c r="B716" s="23"/>
      <c r="C716" s="23"/>
      <c r="D716" s="23"/>
    </row>
    <row r="717" spans="1:4" ht="16">
      <c r="A717" s="23"/>
      <c r="B717" s="23"/>
      <c r="C717" s="23"/>
      <c r="D717" s="23"/>
    </row>
    <row r="718" spans="1:4" ht="16">
      <c r="A718" s="23"/>
      <c r="B718" s="23"/>
      <c r="C718" s="23"/>
      <c r="D718" s="23"/>
    </row>
    <row r="719" spans="1:4" ht="16">
      <c r="A719" s="23"/>
      <c r="B719" s="23"/>
      <c r="C719" s="23"/>
      <c r="D719" s="23"/>
    </row>
    <row r="720" spans="1:4" ht="16">
      <c r="A720" s="23"/>
      <c r="B720" s="23"/>
      <c r="C720" s="23"/>
      <c r="D720" s="23"/>
    </row>
    <row r="721" spans="1:4" ht="16">
      <c r="A721" s="23"/>
      <c r="B721" s="23"/>
      <c r="C721" s="23"/>
      <c r="D721" s="23"/>
    </row>
    <row r="722" spans="1:4" ht="16">
      <c r="A722" s="23"/>
      <c r="B722" s="23"/>
      <c r="C722" s="23"/>
      <c r="D722" s="23"/>
    </row>
    <row r="723" spans="1:4" ht="16">
      <c r="A723" s="23"/>
      <c r="B723" s="23"/>
      <c r="C723" s="23"/>
      <c r="D723" s="23"/>
    </row>
    <row r="724" spans="1:4" ht="16">
      <c r="A724" s="23"/>
      <c r="B724" s="23"/>
      <c r="C724" s="23"/>
      <c r="D724" s="23"/>
    </row>
    <row r="725" spans="1:4" ht="16">
      <c r="A725" s="23"/>
      <c r="B725" s="23"/>
      <c r="C725" s="23"/>
      <c r="D725" s="23"/>
    </row>
    <row r="726" spans="1:4" ht="16">
      <c r="A726" s="23"/>
      <c r="B726" s="23"/>
      <c r="C726" s="23"/>
      <c r="D726" s="23"/>
    </row>
    <row r="727" spans="1:4" ht="16">
      <c r="A727" s="23"/>
      <c r="B727" s="23"/>
      <c r="C727" s="23"/>
      <c r="D727" s="23"/>
    </row>
    <row r="728" spans="1:4" ht="16">
      <c r="A728" s="23"/>
      <c r="B728" s="23"/>
      <c r="C728" s="23"/>
      <c r="D728" s="23"/>
    </row>
    <row r="729" spans="1:4" ht="16">
      <c r="A729" s="23"/>
      <c r="B729" s="23"/>
      <c r="C729" s="23"/>
      <c r="D729" s="23"/>
    </row>
    <row r="730" spans="1:4" ht="16">
      <c r="A730" s="23"/>
      <c r="B730" s="23"/>
      <c r="C730" s="23"/>
      <c r="D730" s="23"/>
    </row>
    <row r="731" spans="1:4" ht="16">
      <c r="A731" s="23"/>
      <c r="B731" s="23"/>
      <c r="C731" s="23"/>
      <c r="D731" s="23"/>
    </row>
    <row r="732" spans="1:4" ht="16">
      <c r="A732" s="23"/>
      <c r="B732" s="23"/>
      <c r="C732" s="23"/>
      <c r="D732" s="23"/>
    </row>
    <row r="733" spans="1:4" ht="16">
      <c r="A733" s="23"/>
      <c r="B733" s="23"/>
      <c r="C733" s="23"/>
      <c r="D733" s="23"/>
    </row>
    <row r="734" spans="1:4" ht="16">
      <c r="A734" s="23"/>
      <c r="B734" s="23"/>
      <c r="C734" s="23"/>
      <c r="D734" s="23"/>
    </row>
    <row r="735" spans="1:4" ht="16">
      <c r="A735" s="23"/>
      <c r="B735" s="23"/>
      <c r="C735" s="23"/>
      <c r="D735" s="23"/>
    </row>
    <row r="736" spans="1:4" ht="16">
      <c r="A736" s="23"/>
      <c r="B736" s="23"/>
      <c r="C736" s="23"/>
      <c r="D736" s="23"/>
    </row>
    <row r="737" spans="1:4" ht="16">
      <c r="A737" s="23"/>
      <c r="B737" s="23"/>
      <c r="C737" s="23"/>
      <c r="D737" s="23"/>
    </row>
    <row r="738" spans="1:4" ht="16">
      <c r="A738" s="23"/>
      <c r="B738" s="23"/>
      <c r="C738" s="23"/>
      <c r="D738" s="23"/>
    </row>
    <row r="739" spans="1:4" ht="16">
      <c r="A739" s="23"/>
      <c r="B739" s="23"/>
      <c r="C739" s="23"/>
      <c r="D739" s="23"/>
    </row>
    <row r="740" spans="1:4" ht="16">
      <c r="A740" s="23"/>
      <c r="B740" s="23"/>
      <c r="C740" s="23"/>
      <c r="D740" s="23"/>
    </row>
    <row r="741" spans="1:4" ht="16">
      <c r="A741" s="23"/>
      <c r="B741" s="23"/>
      <c r="C741" s="23"/>
      <c r="D741" s="23"/>
    </row>
    <row r="742" spans="1:4" ht="16">
      <c r="A742" s="23"/>
      <c r="B742" s="23"/>
      <c r="C742" s="23"/>
      <c r="D742" s="23"/>
    </row>
    <row r="743" spans="1:4" ht="16">
      <c r="A743" s="23"/>
      <c r="B743" s="23"/>
      <c r="C743" s="23"/>
      <c r="D743" s="23"/>
    </row>
    <row r="744" spans="1:4" ht="16">
      <c r="A744" s="23"/>
      <c r="B744" s="23"/>
      <c r="C744" s="23"/>
      <c r="D744" s="23"/>
    </row>
    <row r="745" spans="1:4" ht="16">
      <c r="A745" s="23"/>
      <c r="B745" s="23"/>
      <c r="C745" s="23"/>
      <c r="D745" s="23"/>
    </row>
    <row r="746" spans="1:4" ht="16">
      <c r="A746" s="23"/>
      <c r="B746" s="23"/>
      <c r="C746" s="23"/>
      <c r="D746" s="23"/>
    </row>
    <row r="747" spans="1:4" ht="16">
      <c r="A747" s="23"/>
      <c r="B747" s="23"/>
      <c r="C747" s="23"/>
      <c r="D747" s="23"/>
    </row>
    <row r="748" spans="1:4" ht="16">
      <c r="A748" s="23"/>
      <c r="B748" s="23"/>
      <c r="C748" s="23"/>
      <c r="D748" s="23"/>
    </row>
    <row r="749" spans="1:4" ht="16">
      <c r="A749" s="23"/>
      <c r="B749" s="23"/>
      <c r="C749" s="23"/>
      <c r="D749" s="23"/>
    </row>
    <row r="750" spans="1:4" ht="16">
      <c r="A750" s="23"/>
      <c r="B750" s="23"/>
      <c r="C750" s="23"/>
      <c r="D750" s="23"/>
    </row>
    <row r="751" spans="1:4" ht="16">
      <c r="A751" s="23"/>
      <c r="B751" s="23"/>
      <c r="C751" s="23"/>
      <c r="D751" s="23"/>
    </row>
    <row r="752" spans="1:4" ht="16">
      <c r="A752" s="23"/>
      <c r="B752" s="23"/>
      <c r="C752" s="23"/>
      <c r="D752" s="23"/>
    </row>
    <row r="753" spans="1:4" ht="16">
      <c r="A753" s="23"/>
      <c r="B753" s="23"/>
      <c r="C753" s="23"/>
      <c r="D753" s="23"/>
    </row>
    <row r="754" spans="1:4" ht="16">
      <c r="A754" s="23"/>
      <c r="B754" s="23"/>
      <c r="C754" s="23"/>
      <c r="D754" s="23"/>
    </row>
    <row r="755" spans="1:4" ht="16">
      <c r="A755" s="23"/>
      <c r="B755" s="23"/>
      <c r="C755" s="23"/>
      <c r="D755" s="23"/>
    </row>
    <row r="756" spans="1:4" ht="16">
      <c r="A756" s="23"/>
      <c r="B756" s="23"/>
      <c r="C756" s="23"/>
      <c r="D756" s="23"/>
    </row>
    <row r="757" spans="1:4" ht="16">
      <c r="A757" s="23"/>
      <c r="B757" s="23"/>
      <c r="C757" s="23"/>
      <c r="D757" s="23"/>
    </row>
    <row r="758" spans="1:4" ht="16">
      <c r="A758" s="23"/>
      <c r="B758" s="23"/>
      <c r="C758" s="23"/>
      <c r="D758" s="23"/>
    </row>
    <row r="759" spans="1:4" ht="16">
      <c r="A759" s="23"/>
      <c r="B759" s="23"/>
      <c r="C759" s="23"/>
      <c r="D759" s="23"/>
    </row>
    <row r="760" spans="1:4" ht="16">
      <c r="A760" s="23"/>
      <c r="B760" s="23"/>
      <c r="C760" s="23"/>
      <c r="D760" s="23"/>
    </row>
    <row r="761" spans="1:4" ht="16">
      <c r="A761" s="23"/>
      <c r="B761" s="23"/>
      <c r="C761" s="23"/>
      <c r="D761" s="23"/>
    </row>
    <row r="762" spans="1:4" ht="16">
      <c r="A762" s="23"/>
      <c r="B762" s="23"/>
      <c r="C762" s="23"/>
      <c r="D762" s="23"/>
    </row>
    <row r="763" spans="1:4" ht="16">
      <c r="A763" s="23"/>
      <c r="B763" s="23"/>
      <c r="C763" s="23"/>
      <c r="D763" s="23"/>
    </row>
    <row r="764" spans="1:4" ht="16">
      <c r="A764" s="23"/>
      <c r="B764" s="23"/>
      <c r="C764" s="23"/>
      <c r="D764" s="23"/>
    </row>
    <row r="765" spans="1:4" ht="16">
      <c r="A765" s="23"/>
      <c r="B765" s="23"/>
      <c r="C765" s="23"/>
      <c r="D765" s="23"/>
    </row>
    <row r="766" spans="1:4" ht="16">
      <c r="A766" s="23"/>
      <c r="B766" s="23"/>
      <c r="C766" s="23"/>
      <c r="D766" s="23"/>
    </row>
    <row r="767" spans="1:4" ht="16">
      <c r="A767" s="23"/>
      <c r="B767" s="23"/>
      <c r="C767" s="23"/>
      <c r="D767" s="23"/>
    </row>
    <row r="768" spans="1:4" ht="16">
      <c r="A768" s="23"/>
      <c r="B768" s="23"/>
      <c r="C768" s="23"/>
      <c r="D768" s="23"/>
    </row>
    <row r="769" spans="1:4" ht="16">
      <c r="A769" s="23"/>
      <c r="B769" s="23"/>
      <c r="C769" s="23"/>
      <c r="D769" s="23"/>
    </row>
    <row r="770" spans="1:4" ht="16">
      <c r="A770" s="23"/>
      <c r="B770" s="23"/>
      <c r="C770" s="23"/>
      <c r="D770" s="23"/>
    </row>
    <row r="771" spans="1:4" ht="16">
      <c r="A771" s="23"/>
      <c r="B771" s="23"/>
      <c r="C771" s="23"/>
      <c r="D771" s="23"/>
    </row>
    <row r="772" spans="1:4" ht="16">
      <c r="A772" s="23"/>
      <c r="B772" s="23"/>
      <c r="C772" s="23"/>
      <c r="D772" s="23"/>
    </row>
    <row r="773" spans="1:4" ht="16">
      <c r="A773" s="23"/>
      <c r="B773" s="23"/>
      <c r="C773" s="23"/>
      <c r="D773" s="23"/>
    </row>
    <row r="774" spans="1:4" ht="16">
      <c r="A774" s="23"/>
      <c r="B774" s="23"/>
      <c r="C774" s="23"/>
      <c r="D774" s="23"/>
    </row>
    <row r="775" spans="1:4" ht="16">
      <c r="A775" s="23"/>
      <c r="B775" s="23"/>
      <c r="C775" s="23"/>
      <c r="D775" s="23"/>
    </row>
    <row r="776" spans="1:4" ht="16">
      <c r="A776" s="23"/>
      <c r="B776" s="23"/>
      <c r="C776" s="23"/>
      <c r="D776" s="23"/>
    </row>
    <row r="777" spans="1:4" ht="16">
      <c r="A777" s="23"/>
      <c r="B777" s="23"/>
      <c r="C777" s="23"/>
      <c r="D777" s="23"/>
    </row>
    <row r="778" spans="1:4" ht="16">
      <c r="A778" s="23"/>
      <c r="B778" s="23"/>
      <c r="C778" s="23"/>
      <c r="D778" s="23"/>
    </row>
    <row r="779" spans="1:4" ht="16">
      <c r="A779" s="23"/>
      <c r="B779" s="23"/>
      <c r="C779" s="23"/>
      <c r="D779" s="23"/>
    </row>
    <row r="780" spans="1:4" ht="16">
      <c r="A780" s="23"/>
      <c r="B780" s="23"/>
      <c r="C780" s="23"/>
      <c r="D780" s="23"/>
    </row>
    <row r="781" spans="1:4" ht="16">
      <c r="A781" s="23"/>
      <c r="B781" s="23"/>
      <c r="C781" s="23"/>
      <c r="D781" s="23"/>
    </row>
    <row r="782" spans="1:4" ht="16">
      <c r="A782" s="23"/>
      <c r="B782" s="23"/>
      <c r="C782" s="23"/>
      <c r="D782" s="23"/>
    </row>
    <row r="783" spans="1:4" ht="16">
      <c r="A783" s="23"/>
      <c r="B783" s="23"/>
      <c r="C783" s="23"/>
      <c r="D783" s="23"/>
    </row>
    <row r="784" spans="1:4" ht="16">
      <c r="A784" s="23"/>
      <c r="B784" s="23"/>
      <c r="C784" s="23"/>
      <c r="D784" s="23"/>
    </row>
    <row r="785" spans="1:4" ht="16">
      <c r="A785" s="23"/>
      <c r="B785" s="23"/>
      <c r="C785" s="23"/>
      <c r="D785" s="23"/>
    </row>
    <row r="786" spans="1:4" ht="16">
      <c r="A786" s="23"/>
      <c r="B786" s="23"/>
      <c r="C786" s="23"/>
      <c r="D786" s="23"/>
    </row>
    <row r="787" spans="1:4" ht="16">
      <c r="A787" s="23"/>
      <c r="B787" s="23"/>
      <c r="C787" s="23"/>
      <c r="D787" s="23"/>
    </row>
    <row r="788" spans="1:4" ht="16">
      <c r="A788" s="23"/>
      <c r="B788" s="23"/>
      <c r="C788" s="23"/>
      <c r="D788" s="23"/>
    </row>
    <row r="789" spans="1:4" ht="16">
      <c r="A789" s="23"/>
      <c r="B789" s="23"/>
      <c r="C789" s="23"/>
      <c r="D789" s="23"/>
    </row>
    <row r="790" spans="1:4" ht="16">
      <c r="A790" s="23"/>
      <c r="B790" s="23"/>
      <c r="C790" s="23"/>
      <c r="D790" s="23"/>
    </row>
    <row r="791" spans="1:4" ht="16">
      <c r="A791" s="23"/>
      <c r="B791" s="23"/>
      <c r="C791" s="23"/>
      <c r="D791" s="23"/>
    </row>
    <row r="792" spans="1:4" ht="16">
      <c r="A792" s="23"/>
      <c r="B792" s="23"/>
      <c r="C792" s="23"/>
      <c r="D792" s="23"/>
    </row>
    <row r="793" spans="1:4" ht="16">
      <c r="A793" s="23"/>
      <c r="B793" s="23"/>
      <c r="C793" s="23"/>
      <c r="D793" s="23"/>
    </row>
    <row r="794" spans="1:4" ht="16">
      <c r="A794" s="23"/>
      <c r="B794" s="23"/>
      <c r="C794" s="23"/>
      <c r="D794" s="23"/>
    </row>
    <row r="795" spans="1:4" ht="16">
      <c r="A795" s="23"/>
      <c r="B795" s="23"/>
      <c r="C795" s="23"/>
      <c r="D795" s="23"/>
    </row>
    <row r="796" spans="1:4" ht="16">
      <c r="A796" s="23"/>
      <c r="B796" s="23"/>
      <c r="C796" s="23"/>
      <c r="D796" s="23"/>
    </row>
    <row r="797" spans="1:4" ht="16">
      <c r="A797" s="23"/>
      <c r="B797" s="23"/>
      <c r="C797" s="23"/>
      <c r="D797" s="23"/>
    </row>
    <row r="798" spans="1:4" ht="16">
      <c r="A798" s="23"/>
      <c r="B798" s="23"/>
      <c r="C798" s="23"/>
      <c r="D798" s="23"/>
    </row>
    <row r="799" spans="1:4" ht="16">
      <c r="A799" s="23"/>
      <c r="B799" s="23"/>
      <c r="C799" s="23"/>
      <c r="D799" s="23"/>
    </row>
    <row r="800" spans="1:4" ht="16">
      <c r="A800" s="23"/>
      <c r="B800" s="23"/>
      <c r="C800" s="23"/>
      <c r="D800" s="23"/>
    </row>
    <row r="801" spans="1:4" ht="16">
      <c r="A801" s="23"/>
      <c r="B801" s="23"/>
      <c r="C801" s="23"/>
      <c r="D801" s="23"/>
    </row>
    <row r="802" spans="1:4" ht="16">
      <c r="A802" s="23"/>
      <c r="B802" s="23"/>
      <c r="C802" s="23"/>
      <c r="D802" s="23"/>
    </row>
    <row r="803" spans="1:4" ht="16">
      <c r="A803" s="23"/>
      <c r="B803" s="23"/>
      <c r="C803" s="23"/>
      <c r="D803" s="23"/>
    </row>
    <row r="804" spans="1:4" ht="16">
      <c r="A804" s="23"/>
      <c r="B804" s="23"/>
      <c r="C804" s="23"/>
      <c r="D804" s="23"/>
    </row>
    <row r="805" spans="1:4" ht="16">
      <c r="A805" s="23"/>
      <c r="B805" s="23"/>
      <c r="C805" s="23"/>
      <c r="D805" s="23"/>
    </row>
    <row r="806" spans="1:4" ht="16">
      <c r="A806" s="23"/>
      <c r="B806" s="23"/>
      <c r="C806" s="23"/>
      <c r="D806" s="23"/>
    </row>
    <row r="807" spans="1:4" ht="16">
      <c r="A807" s="23"/>
      <c r="B807" s="23"/>
      <c r="C807" s="23"/>
      <c r="D807" s="23"/>
    </row>
    <row r="808" spans="1:4" ht="16">
      <c r="A808" s="23"/>
      <c r="B808" s="23"/>
      <c r="C808" s="23"/>
      <c r="D808" s="23"/>
    </row>
    <row r="809" spans="1:4" ht="16">
      <c r="A809" s="23"/>
      <c r="B809" s="23"/>
      <c r="C809" s="23"/>
      <c r="D809" s="23"/>
    </row>
    <row r="810" spans="1:4" ht="16">
      <c r="A810" s="23"/>
      <c r="B810" s="23"/>
      <c r="C810" s="23"/>
      <c r="D810" s="23"/>
    </row>
    <row r="811" spans="1:4" ht="16">
      <c r="A811" s="23"/>
      <c r="B811" s="23"/>
      <c r="C811" s="23"/>
      <c r="D811" s="23"/>
    </row>
    <row r="812" spans="1:4" ht="16">
      <c r="A812" s="23"/>
      <c r="B812" s="23"/>
      <c r="C812" s="23"/>
      <c r="D812" s="23"/>
    </row>
    <row r="813" spans="1:4" ht="16">
      <c r="A813" s="23"/>
      <c r="B813" s="23"/>
      <c r="C813" s="23"/>
      <c r="D813" s="23"/>
    </row>
    <row r="814" spans="1:4" ht="16">
      <c r="A814" s="23"/>
      <c r="B814" s="23"/>
      <c r="C814" s="23"/>
      <c r="D814" s="23"/>
    </row>
    <row r="815" spans="1:4" ht="16">
      <c r="A815" s="23"/>
      <c r="B815" s="23"/>
      <c r="C815" s="23"/>
      <c r="D815" s="23"/>
    </row>
    <row r="816" spans="1:4" ht="16">
      <c r="A816" s="23"/>
      <c r="B816" s="23"/>
      <c r="C816" s="23"/>
      <c r="D816" s="23"/>
    </row>
    <row r="817" spans="1:4" ht="16">
      <c r="A817" s="23"/>
      <c r="B817" s="23"/>
      <c r="C817" s="23"/>
      <c r="D817" s="23"/>
    </row>
    <row r="818" spans="1:4" ht="16">
      <c r="A818" s="23"/>
      <c r="B818" s="23"/>
      <c r="C818" s="23"/>
      <c r="D818" s="23"/>
    </row>
    <row r="819" spans="1:4" ht="16">
      <c r="A819" s="23"/>
      <c r="B819" s="23"/>
      <c r="C819" s="23"/>
      <c r="D819" s="23"/>
    </row>
    <row r="820" spans="1:4" ht="16">
      <c r="A820" s="23"/>
      <c r="B820" s="23"/>
      <c r="C820" s="23"/>
      <c r="D820" s="23"/>
    </row>
    <row r="821" spans="1:4" ht="16">
      <c r="A821" s="23"/>
      <c r="B821" s="23"/>
      <c r="C821" s="23"/>
      <c r="D821" s="23"/>
    </row>
    <row r="822" spans="1:4" ht="16">
      <c r="A822" s="23"/>
      <c r="B822" s="23"/>
      <c r="C822" s="23"/>
      <c r="D822" s="23"/>
    </row>
    <row r="823" spans="1:4" ht="16">
      <c r="A823" s="23"/>
      <c r="B823" s="23"/>
      <c r="C823" s="23"/>
      <c r="D823" s="23"/>
    </row>
    <row r="824" spans="1:4" ht="16">
      <c r="A824" s="23"/>
      <c r="B824" s="23"/>
      <c r="C824" s="23"/>
      <c r="D824" s="23"/>
    </row>
    <row r="825" spans="1:4" ht="16">
      <c r="A825" s="23"/>
      <c r="B825" s="23"/>
      <c r="C825" s="23"/>
      <c r="D825" s="23"/>
    </row>
    <row r="826" spans="1:4" ht="16">
      <c r="A826" s="23"/>
      <c r="B826" s="23"/>
      <c r="C826" s="23"/>
      <c r="D826" s="23"/>
    </row>
    <row r="827" spans="1:4" ht="16">
      <c r="A827" s="23"/>
      <c r="B827" s="23"/>
      <c r="C827" s="23"/>
      <c r="D827" s="23"/>
    </row>
    <row r="828" spans="1:4" ht="16">
      <c r="A828" s="23"/>
      <c r="B828" s="23"/>
      <c r="C828" s="23"/>
      <c r="D828" s="23"/>
    </row>
    <row r="829" spans="1:4" ht="16">
      <c r="A829" s="23"/>
      <c r="B829" s="23"/>
      <c r="C829" s="23"/>
      <c r="D829" s="23"/>
    </row>
    <row r="830" spans="1:4" ht="16">
      <c r="A830" s="23"/>
      <c r="B830" s="23"/>
      <c r="C830" s="23"/>
      <c r="D830" s="23"/>
    </row>
    <row r="831" spans="1:4" ht="16">
      <c r="A831" s="23"/>
      <c r="B831" s="23"/>
      <c r="C831" s="23"/>
      <c r="D831" s="23"/>
    </row>
    <row r="832" spans="1:4" ht="16">
      <c r="A832" s="23"/>
      <c r="B832" s="23"/>
      <c r="C832" s="23"/>
      <c r="D832" s="23"/>
    </row>
    <row r="833" spans="1:4" ht="16">
      <c r="A833" s="23"/>
      <c r="B833" s="23"/>
      <c r="C833" s="23"/>
      <c r="D833" s="23"/>
    </row>
    <row r="834" spans="1:4" ht="16">
      <c r="A834" s="23"/>
      <c r="B834" s="23"/>
      <c r="C834" s="23"/>
      <c r="D834" s="23"/>
    </row>
    <row r="835" spans="1:4" ht="16">
      <c r="A835" s="23"/>
      <c r="B835" s="23"/>
      <c r="C835" s="23"/>
      <c r="D835" s="23"/>
    </row>
    <row r="836" spans="1:4" ht="16">
      <c r="A836" s="23"/>
      <c r="B836" s="23"/>
      <c r="C836" s="23"/>
      <c r="D836" s="23"/>
    </row>
    <row r="837" spans="1:4" ht="16">
      <c r="A837" s="23"/>
      <c r="B837" s="23"/>
      <c r="C837" s="23"/>
      <c r="D837" s="23"/>
    </row>
    <row r="838" spans="1:4" ht="16">
      <c r="A838" s="23"/>
      <c r="B838" s="23"/>
      <c r="C838" s="23"/>
      <c r="D838" s="23"/>
    </row>
    <row r="839" spans="1:4" ht="16">
      <c r="A839" s="23"/>
      <c r="B839" s="23"/>
      <c r="C839" s="23"/>
      <c r="D839" s="23"/>
    </row>
    <row r="840" spans="1:4" ht="16">
      <c r="A840" s="23"/>
      <c r="B840" s="23"/>
      <c r="C840" s="23"/>
      <c r="D840" s="23"/>
    </row>
    <row r="841" spans="1:4" ht="16">
      <c r="A841" s="23"/>
      <c r="B841" s="23"/>
      <c r="C841" s="23"/>
      <c r="D841" s="23"/>
    </row>
    <row r="842" spans="1:4" ht="16">
      <c r="A842" s="23"/>
      <c r="B842" s="23"/>
      <c r="C842" s="23"/>
      <c r="D842" s="23"/>
    </row>
    <row r="843" spans="1:4" ht="16">
      <c r="A843" s="23"/>
      <c r="B843" s="23"/>
      <c r="C843" s="23"/>
      <c r="D843" s="23"/>
    </row>
    <row r="844" spans="1:4" ht="16">
      <c r="A844" s="23"/>
      <c r="B844" s="23"/>
      <c r="C844" s="23"/>
      <c r="D844" s="23"/>
    </row>
    <row r="845" spans="1:4" ht="16">
      <c r="A845" s="23"/>
      <c r="B845" s="23"/>
      <c r="C845" s="23"/>
      <c r="D845" s="23"/>
    </row>
    <row r="846" spans="1:4" ht="16">
      <c r="A846" s="23"/>
      <c r="B846" s="23"/>
      <c r="C846" s="23"/>
      <c r="D846" s="23"/>
    </row>
    <row r="847" spans="1:4" ht="16">
      <c r="A847" s="23"/>
      <c r="B847" s="23"/>
      <c r="C847" s="23"/>
      <c r="D847" s="23"/>
    </row>
    <row r="848" spans="1:4" ht="16">
      <c r="A848" s="23"/>
      <c r="B848" s="23"/>
      <c r="C848" s="23"/>
      <c r="D848" s="23"/>
    </row>
    <row r="849" spans="1:4" ht="16">
      <c r="A849" s="23"/>
      <c r="B849" s="23"/>
      <c r="C849" s="23"/>
      <c r="D849" s="23"/>
    </row>
    <row r="850" spans="1:4" ht="16">
      <c r="A850" s="23"/>
      <c r="B850" s="23"/>
      <c r="C850" s="23"/>
      <c r="D850" s="23"/>
    </row>
    <row r="851" spans="1:4" ht="16">
      <c r="A851" s="23"/>
      <c r="B851" s="23"/>
      <c r="C851" s="23"/>
      <c r="D851" s="23"/>
    </row>
    <row r="852" spans="1:4" ht="16">
      <c r="A852" s="23"/>
      <c r="B852" s="23"/>
      <c r="C852" s="23"/>
      <c r="D852" s="23"/>
    </row>
    <row r="853" spans="1:4" ht="16">
      <c r="A853" s="23"/>
      <c r="B853" s="23"/>
      <c r="C853" s="23"/>
      <c r="D853" s="23"/>
    </row>
    <row r="854" spans="1:4" ht="16">
      <c r="A854" s="23"/>
      <c r="B854" s="23"/>
      <c r="C854" s="23"/>
      <c r="D854" s="23"/>
    </row>
    <row r="855" spans="1:4" ht="16">
      <c r="A855" s="23"/>
      <c r="B855" s="23"/>
      <c r="C855" s="23"/>
      <c r="D855" s="23"/>
    </row>
    <row r="856" spans="1:4" ht="16">
      <c r="A856" s="23"/>
      <c r="B856" s="23"/>
      <c r="C856" s="23"/>
      <c r="D856" s="23"/>
    </row>
    <row r="857" spans="1:4" ht="16">
      <c r="A857" s="23"/>
      <c r="B857" s="23"/>
      <c r="C857" s="23"/>
      <c r="D857" s="23"/>
    </row>
    <row r="858" spans="1:4" ht="16">
      <c r="A858" s="23"/>
      <c r="B858" s="23"/>
      <c r="C858" s="23"/>
      <c r="D858" s="23"/>
    </row>
    <row r="859" spans="1:4" ht="16">
      <c r="A859" s="23"/>
      <c r="B859" s="23"/>
      <c r="C859" s="23"/>
      <c r="D859" s="23"/>
    </row>
    <row r="860" spans="1:4" ht="16">
      <c r="A860" s="23"/>
      <c r="B860" s="23"/>
      <c r="C860" s="23"/>
      <c r="D860" s="23"/>
    </row>
    <row r="861" spans="1:4" ht="16">
      <c r="A861" s="23"/>
      <c r="B861" s="23"/>
      <c r="C861" s="23"/>
      <c r="D861" s="23"/>
    </row>
    <row r="862" spans="1:4" ht="16">
      <c r="A862" s="23"/>
      <c r="B862" s="23"/>
      <c r="C862" s="23"/>
      <c r="D862" s="23"/>
    </row>
    <row r="863" spans="1:4" ht="16">
      <c r="A863" s="23"/>
      <c r="B863" s="23"/>
      <c r="C863" s="23"/>
      <c r="D863" s="23"/>
    </row>
    <row r="864" spans="1:4" ht="16">
      <c r="A864" s="23"/>
      <c r="B864" s="23"/>
      <c r="C864" s="23"/>
      <c r="D864" s="23"/>
    </row>
    <row r="865" spans="1:4" ht="16">
      <c r="A865" s="23"/>
      <c r="B865" s="23"/>
      <c r="C865" s="23"/>
      <c r="D865" s="23"/>
    </row>
    <row r="866" spans="1:4" ht="16">
      <c r="A866" s="23"/>
      <c r="B866" s="23"/>
      <c r="C866" s="23"/>
      <c r="D866" s="23"/>
    </row>
    <row r="867" spans="1:4" ht="16">
      <c r="A867" s="23"/>
      <c r="B867" s="23"/>
      <c r="C867" s="23"/>
      <c r="D867" s="23"/>
    </row>
    <row r="868" spans="1:4" ht="16">
      <c r="A868" s="23"/>
      <c r="B868" s="23"/>
      <c r="C868" s="23"/>
      <c r="D868" s="23"/>
    </row>
    <row r="869" spans="1:4" ht="16">
      <c r="A869" s="23"/>
      <c r="B869" s="23"/>
      <c r="C869" s="23"/>
      <c r="D869" s="23"/>
    </row>
    <row r="870" spans="1:4" ht="16">
      <c r="A870" s="23"/>
      <c r="B870" s="23"/>
      <c r="C870" s="23"/>
      <c r="D870" s="23"/>
    </row>
    <row r="871" spans="1:4" ht="16">
      <c r="A871" s="23"/>
      <c r="B871" s="23"/>
      <c r="C871" s="23"/>
      <c r="D871" s="23"/>
    </row>
    <row r="872" spans="1:4" ht="16">
      <c r="A872" s="23"/>
      <c r="B872" s="23"/>
      <c r="C872" s="23"/>
      <c r="D872" s="23"/>
    </row>
    <row r="873" spans="1:4" ht="16">
      <c r="A873" s="23"/>
      <c r="B873" s="23"/>
      <c r="C873" s="23"/>
      <c r="D873" s="23"/>
    </row>
    <row r="874" spans="1:4" ht="16">
      <c r="A874" s="23"/>
      <c r="B874" s="23"/>
      <c r="C874" s="23"/>
      <c r="D874" s="23"/>
    </row>
    <row r="875" spans="1:4" ht="16">
      <c r="A875" s="23"/>
      <c r="B875" s="23"/>
      <c r="C875" s="23"/>
      <c r="D875" s="23"/>
    </row>
    <row r="876" spans="1:4" ht="16">
      <c r="A876" s="23"/>
      <c r="B876" s="23"/>
      <c r="C876" s="23"/>
      <c r="D876" s="23"/>
    </row>
    <row r="877" spans="1:4" ht="16">
      <c r="A877" s="23"/>
      <c r="B877" s="23"/>
      <c r="C877" s="23"/>
      <c r="D877" s="23"/>
    </row>
    <row r="878" spans="1:4" ht="16">
      <c r="A878" s="23"/>
      <c r="B878" s="23"/>
      <c r="C878" s="23"/>
      <c r="D878" s="23"/>
    </row>
    <row r="879" spans="1:4" ht="16">
      <c r="A879" s="23"/>
      <c r="B879" s="23"/>
      <c r="C879" s="23"/>
      <c r="D879" s="23"/>
    </row>
    <row r="880" spans="1:4" ht="16">
      <c r="A880" s="23"/>
      <c r="B880" s="23"/>
      <c r="C880" s="23"/>
      <c r="D880" s="23"/>
    </row>
    <row r="881" spans="1:4" ht="16">
      <c r="A881" s="23"/>
      <c r="B881" s="23"/>
      <c r="C881" s="23"/>
      <c r="D881" s="23"/>
    </row>
    <row r="882" spans="1:4" ht="16">
      <c r="A882" s="23"/>
      <c r="B882" s="23"/>
      <c r="C882" s="23"/>
      <c r="D882" s="23"/>
    </row>
    <row r="883" spans="1:4" ht="16">
      <c r="A883" s="23"/>
      <c r="B883" s="23"/>
      <c r="C883" s="23"/>
      <c r="D883" s="23"/>
    </row>
    <row r="884" spans="1:4" ht="16">
      <c r="A884" s="23"/>
      <c r="B884" s="23"/>
      <c r="C884" s="23"/>
      <c r="D884" s="23"/>
    </row>
    <row r="885" spans="1:4" ht="16">
      <c r="A885" s="23"/>
      <c r="B885" s="23"/>
      <c r="C885" s="23"/>
      <c r="D885" s="23"/>
    </row>
    <row r="886" spans="1:4" ht="16">
      <c r="A886" s="23"/>
      <c r="B886" s="23"/>
      <c r="C886" s="23"/>
      <c r="D886" s="23"/>
    </row>
    <row r="887" spans="1:4" ht="16">
      <c r="A887" s="23"/>
      <c r="B887" s="23"/>
      <c r="C887" s="23"/>
      <c r="D887" s="23"/>
    </row>
    <row r="888" spans="1:4" ht="16">
      <c r="A888" s="23"/>
      <c r="B888" s="23"/>
      <c r="C888" s="23"/>
      <c r="D888" s="23"/>
    </row>
    <row r="889" spans="1:4" ht="16">
      <c r="A889" s="23"/>
      <c r="B889" s="23"/>
      <c r="C889" s="23"/>
      <c r="D889" s="23"/>
    </row>
    <row r="890" spans="1:4" ht="16">
      <c r="A890" s="23"/>
      <c r="B890" s="23"/>
      <c r="C890" s="23"/>
      <c r="D890" s="23"/>
    </row>
    <row r="891" spans="1:4" ht="16">
      <c r="A891" s="23"/>
      <c r="B891" s="23"/>
      <c r="C891" s="23"/>
      <c r="D891" s="23"/>
    </row>
    <row r="892" spans="1:4" ht="16">
      <c r="A892" s="23"/>
      <c r="B892" s="23"/>
      <c r="C892" s="23"/>
      <c r="D892" s="23"/>
    </row>
    <row r="893" spans="1:4" ht="16">
      <c r="A893" s="23"/>
      <c r="B893" s="23"/>
      <c r="C893" s="23"/>
      <c r="D893" s="23"/>
    </row>
    <row r="894" spans="1:4" ht="16">
      <c r="A894" s="23"/>
      <c r="B894" s="23"/>
      <c r="C894" s="23"/>
      <c r="D894" s="23"/>
    </row>
    <row r="895" spans="1:4" ht="16">
      <c r="A895" s="23"/>
      <c r="B895" s="23"/>
      <c r="C895" s="23"/>
      <c r="D895" s="23"/>
    </row>
    <row r="896" spans="1:4" ht="16">
      <c r="A896" s="23"/>
      <c r="B896" s="23"/>
      <c r="C896" s="23"/>
      <c r="D896" s="23"/>
    </row>
    <row r="897" spans="1:4" ht="16">
      <c r="A897" s="23"/>
      <c r="B897" s="23"/>
      <c r="C897" s="23"/>
      <c r="D897" s="23"/>
    </row>
    <row r="898" spans="1:4" ht="16">
      <c r="A898" s="23"/>
      <c r="B898" s="23"/>
      <c r="C898" s="23"/>
      <c r="D898" s="23"/>
    </row>
    <row r="899" spans="1:4" ht="16">
      <c r="A899" s="23"/>
      <c r="B899" s="23"/>
      <c r="C899" s="23"/>
      <c r="D899" s="23"/>
    </row>
    <row r="900" spans="1:4" ht="16">
      <c r="A900" s="23"/>
      <c r="B900" s="23"/>
      <c r="C900" s="23"/>
      <c r="D900" s="23"/>
    </row>
    <row r="901" spans="1:4" ht="16">
      <c r="A901" s="23"/>
      <c r="B901" s="23"/>
      <c r="C901" s="23"/>
      <c r="D901" s="23"/>
    </row>
    <row r="902" spans="1:4" ht="16">
      <c r="A902" s="23"/>
      <c r="B902" s="23"/>
      <c r="C902" s="23"/>
      <c r="D902" s="23"/>
    </row>
    <row r="903" spans="1:4" ht="16">
      <c r="A903" s="23"/>
      <c r="B903" s="23"/>
      <c r="C903" s="23"/>
      <c r="D903" s="23"/>
    </row>
    <row r="904" spans="1:4" ht="16">
      <c r="A904" s="23"/>
      <c r="B904" s="23"/>
      <c r="C904" s="23"/>
      <c r="D904" s="23"/>
    </row>
    <row r="905" spans="1:4" ht="16">
      <c r="A905" s="23"/>
      <c r="B905" s="23"/>
      <c r="C905" s="23"/>
      <c r="D905" s="23"/>
    </row>
    <row r="906" spans="1:4" ht="16">
      <c r="A906" s="23"/>
      <c r="B906" s="23"/>
      <c r="C906" s="23"/>
      <c r="D906" s="23"/>
    </row>
    <row r="907" spans="1:4" ht="16">
      <c r="A907" s="23"/>
      <c r="B907" s="23"/>
      <c r="C907" s="23"/>
      <c r="D907" s="23"/>
    </row>
    <row r="908" spans="1:4" ht="16">
      <c r="A908" s="23"/>
      <c r="B908" s="23"/>
      <c r="C908" s="23"/>
      <c r="D908" s="23"/>
    </row>
    <row r="909" spans="1:4" ht="16">
      <c r="A909" s="23"/>
      <c r="B909" s="23"/>
      <c r="C909" s="23"/>
      <c r="D909" s="23"/>
    </row>
    <row r="910" spans="1:4" ht="16">
      <c r="A910" s="23"/>
      <c r="B910" s="23"/>
      <c r="C910" s="23"/>
      <c r="D910" s="23"/>
    </row>
    <row r="911" spans="1:4" ht="16">
      <c r="A911" s="23"/>
      <c r="B911" s="23"/>
      <c r="C911" s="23"/>
      <c r="D911" s="23"/>
    </row>
    <row r="912" spans="1:4" ht="16">
      <c r="A912" s="23"/>
      <c r="B912" s="23"/>
      <c r="C912" s="23"/>
      <c r="D912" s="23"/>
    </row>
    <row r="913" spans="1:4" ht="16">
      <c r="A913" s="23"/>
      <c r="B913" s="23"/>
      <c r="C913" s="23"/>
      <c r="D913" s="23"/>
    </row>
    <row r="914" spans="1:4" ht="16">
      <c r="A914" s="23"/>
      <c r="B914" s="23"/>
      <c r="C914" s="23"/>
      <c r="D914" s="23"/>
    </row>
    <row r="915" spans="1:4" ht="16">
      <c r="A915" s="23"/>
      <c r="B915" s="23"/>
      <c r="C915" s="23"/>
      <c r="D915" s="23"/>
    </row>
    <row r="916" spans="1:4" ht="16">
      <c r="A916" s="23"/>
      <c r="B916" s="23"/>
      <c r="C916" s="23"/>
      <c r="D916" s="23"/>
    </row>
    <row r="917" spans="1:4" ht="16">
      <c r="A917" s="23"/>
      <c r="B917" s="23"/>
      <c r="C917" s="23"/>
      <c r="D917" s="23"/>
    </row>
    <row r="918" spans="1:4" ht="16">
      <c r="A918" s="23"/>
      <c r="B918" s="23"/>
      <c r="C918" s="23"/>
      <c r="D918" s="23"/>
    </row>
    <row r="919" spans="1:4" ht="16">
      <c r="A919" s="23"/>
      <c r="B919" s="23"/>
      <c r="C919" s="23"/>
      <c r="D919" s="23"/>
    </row>
    <row r="920" spans="1:4" ht="16">
      <c r="A920" s="23"/>
      <c r="B920" s="23"/>
      <c r="C920" s="23"/>
      <c r="D920" s="23"/>
    </row>
    <row r="921" spans="1:4" ht="16">
      <c r="A921" s="23"/>
      <c r="B921" s="23"/>
      <c r="C921" s="23"/>
      <c r="D921" s="23"/>
    </row>
    <row r="922" spans="1:4" ht="16">
      <c r="A922" s="23"/>
      <c r="B922" s="23"/>
      <c r="C922" s="23"/>
      <c r="D922" s="23"/>
    </row>
    <row r="923" spans="1:4" ht="16">
      <c r="A923" s="23"/>
      <c r="B923" s="23"/>
      <c r="C923" s="23"/>
      <c r="D923" s="23"/>
    </row>
    <row r="924" spans="1:4" ht="16">
      <c r="A924" s="23"/>
      <c r="B924" s="23"/>
      <c r="C924" s="23"/>
      <c r="D924" s="23"/>
    </row>
    <row r="925" spans="1:4" ht="16">
      <c r="A925" s="23"/>
      <c r="B925" s="23"/>
      <c r="C925" s="23"/>
      <c r="D925" s="23"/>
    </row>
    <row r="926" spans="1:4" ht="16">
      <c r="A926" s="23"/>
      <c r="B926" s="23"/>
      <c r="C926" s="23"/>
      <c r="D926" s="23"/>
    </row>
    <row r="927" spans="1:4" ht="16">
      <c r="A927" s="23"/>
      <c r="B927" s="23"/>
      <c r="C927" s="23"/>
      <c r="D927" s="23"/>
    </row>
    <row r="928" spans="1:4" ht="16">
      <c r="A928" s="23"/>
      <c r="B928" s="23"/>
      <c r="C928" s="23"/>
      <c r="D928" s="23"/>
    </row>
    <row r="929" spans="1:4" ht="16">
      <c r="A929" s="23"/>
      <c r="B929" s="23"/>
      <c r="C929" s="23"/>
      <c r="D929" s="23"/>
    </row>
    <row r="930" spans="1:4" ht="16">
      <c r="A930" s="23"/>
      <c r="B930" s="23"/>
      <c r="C930" s="23"/>
      <c r="D930" s="23"/>
    </row>
    <row r="931" spans="1:4" ht="16">
      <c r="A931" s="23"/>
      <c r="B931" s="23"/>
      <c r="C931" s="23"/>
      <c r="D931" s="23"/>
    </row>
    <row r="932" spans="1:4" ht="16">
      <c r="A932" s="23"/>
      <c r="B932" s="23"/>
      <c r="C932" s="23"/>
      <c r="D932" s="23"/>
    </row>
    <row r="933" spans="1:4" ht="16">
      <c r="A933" s="23"/>
      <c r="B933" s="23"/>
      <c r="C933" s="23"/>
      <c r="D933" s="23"/>
    </row>
    <row r="934" spans="1:4" ht="16">
      <c r="A934" s="23"/>
      <c r="B934" s="23"/>
      <c r="C934" s="23"/>
      <c r="D934" s="23"/>
    </row>
    <row r="935" spans="1:4" ht="16">
      <c r="A935" s="23"/>
      <c r="B935" s="23"/>
      <c r="C935" s="23"/>
      <c r="D935" s="23"/>
    </row>
    <row r="936" spans="1:4" ht="16">
      <c r="A936" s="23"/>
      <c r="B936" s="23"/>
      <c r="C936" s="23"/>
      <c r="D936" s="23"/>
    </row>
    <row r="937" spans="1:4" ht="16">
      <c r="A937" s="23"/>
      <c r="B937" s="23"/>
      <c r="C937" s="23"/>
      <c r="D937" s="23"/>
    </row>
    <row r="938" spans="1:4" ht="16">
      <c r="A938" s="23"/>
      <c r="B938" s="23"/>
      <c r="C938" s="23"/>
      <c r="D938" s="23"/>
    </row>
    <row r="939" spans="1:4" ht="16">
      <c r="A939" s="23"/>
      <c r="B939" s="23"/>
      <c r="C939" s="23"/>
      <c r="D939" s="23"/>
    </row>
    <row r="940" spans="1:4" ht="16">
      <c r="A940" s="23"/>
      <c r="B940" s="23"/>
      <c r="C940" s="23"/>
      <c r="D940" s="23"/>
    </row>
    <row r="941" spans="1:4" ht="16">
      <c r="A941" s="23"/>
      <c r="B941" s="23"/>
      <c r="C941" s="23"/>
      <c r="D941" s="23"/>
    </row>
    <row r="942" spans="1:4" ht="16">
      <c r="A942" s="23"/>
      <c r="B942" s="23"/>
      <c r="C942" s="23"/>
      <c r="D942" s="23"/>
    </row>
    <row r="943" spans="1:4" ht="16">
      <c r="A943" s="23"/>
      <c r="B943" s="23"/>
      <c r="C943" s="23"/>
      <c r="D943" s="23"/>
    </row>
    <row r="944" spans="1:4" ht="16">
      <c r="A944" s="23"/>
      <c r="B944" s="23"/>
      <c r="C944" s="23"/>
      <c r="D944" s="23"/>
    </row>
    <row r="945" spans="1:4" ht="16">
      <c r="A945" s="23"/>
      <c r="B945" s="23"/>
      <c r="C945" s="23"/>
      <c r="D945" s="23"/>
    </row>
    <row r="946" spans="1:4" ht="16">
      <c r="A946" s="23"/>
      <c r="B946" s="23"/>
      <c r="C946" s="23"/>
      <c r="D946" s="23"/>
    </row>
    <row r="947" spans="1:4" ht="16">
      <c r="A947" s="23"/>
      <c r="B947" s="23"/>
      <c r="C947" s="23"/>
      <c r="D947" s="23"/>
    </row>
    <row r="948" spans="1:4" ht="16">
      <c r="A948" s="23"/>
      <c r="B948" s="23"/>
      <c r="C948" s="23"/>
      <c r="D948" s="23"/>
    </row>
    <row r="949" spans="1:4" ht="16">
      <c r="A949" s="23"/>
      <c r="B949" s="23"/>
      <c r="C949" s="23"/>
      <c r="D949" s="23"/>
    </row>
    <row r="950" spans="1:4" ht="16">
      <c r="A950" s="23"/>
      <c r="B950" s="23"/>
      <c r="C950" s="23"/>
      <c r="D950" s="23"/>
    </row>
    <row r="951" spans="1:4" ht="16">
      <c r="A951" s="23"/>
      <c r="B951" s="23"/>
      <c r="C951" s="23"/>
      <c r="D951" s="23"/>
    </row>
    <row r="952" spans="1:4" ht="16">
      <c r="A952" s="23"/>
      <c r="B952" s="23"/>
      <c r="C952" s="23"/>
      <c r="D952" s="23"/>
    </row>
    <row r="953" spans="1:4" ht="16">
      <c r="A953" s="23"/>
      <c r="B953" s="23"/>
      <c r="C953" s="23"/>
      <c r="D953" s="23"/>
    </row>
    <row r="954" spans="1:4" ht="16">
      <c r="A954" s="23"/>
      <c r="B954" s="23"/>
      <c r="C954" s="23"/>
      <c r="D954" s="23"/>
    </row>
    <row r="955" spans="1:4" ht="16">
      <c r="A955" s="23"/>
      <c r="B955" s="23"/>
      <c r="C955" s="23"/>
      <c r="D955" s="23"/>
    </row>
    <row r="956" spans="1:4" ht="16">
      <c r="A956" s="23"/>
      <c r="B956" s="23"/>
      <c r="C956" s="23"/>
      <c r="D956" s="23"/>
    </row>
    <row r="957" spans="1:4" ht="16">
      <c r="A957" s="23"/>
      <c r="B957" s="23"/>
      <c r="C957" s="23"/>
      <c r="D957" s="23"/>
    </row>
    <row r="958" spans="1:4" ht="16">
      <c r="A958" s="23"/>
      <c r="B958" s="23"/>
      <c r="C958" s="23"/>
      <c r="D958" s="23"/>
    </row>
    <row r="959" spans="1:4" ht="16">
      <c r="A959" s="23"/>
      <c r="B959" s="23"/>
      <c r="C959" s="23"/>
      <c r="D959" s="23"/>
    </row>
    <row r="960" spans="1:4" ht="16">
      <c r="A960" s="23"/>
      <c r="B960" s="23"/>
      <c r="C960" s="23"/>
      <c r="D960" s="23"/>
    </row>
    <row r="961" spans="1:4" ht="16">
      <c r="A961" s="23"/>
      <c r="B961" s="23"/>
      <c r="C961" s="23"/>
      <c r="D961" s="23"/>
    </row>
    <row r="962" spans="1:4" ht="16">
      <c r="A962" s="23"/>
      <c r="B962" s="23"/>
      <c r="C962" s="23"/>
      <c r="D962" s="23"/>
    </row>
    <row r="963" spans="1:4" ht="16">
      <c r="A963" s="23"/>
      <c r="B963" s="23"/>
      <c r="C963" s="23"/>
      <c r="D963" s="23"/>
    </row>
    <row r="964" spans="1:4" ht="16">
      <c r="A964" s="23"/>
      <c r="B964" s="23"/>
      <c r="C964" s="23"/>
      <c r="D964" s="23"/>
    </row>
    <row r="965" spans="1:4" ht="16">
      <c r="A965" s="23"/>
      <c r="B965" s="23"/>
      <c r="C965" s="23"/>
      <c r="D965" s="23"/>
    </row>
    <row r="966" spans="1:4" ht="16">
      <c r="A966" s="23"/>
      <c r="B966" s="23"/>
      <c r="C966" s="23"/>
      <c r="D966" s="23"/>
    </row>
    <row r="967" spans="1:4" ht="16">
      <c r="A967" s="23"/>
      <c r="B967" s="23"/>
      <c r="C967" s="23"/>
      <c r="D967" s="23"/>
    </row>
    <row r="968" spans="1:4" ht="16">
      <c r="A968" s="23"/>
      <c r="B968" s="23"/>
      <c r="C968" s="23"/>
      <c r="D968" s="23"/>
    </row>
    <row r="969" spans="1:4" ht="16">
      <c r="A969" s="23"/>
      <c r="B969" s="23"/>
      <c r="C969" s="23"/>
      <c r="D969" s="23"/>
    </row>
    <row r="970" spans="1:4" ht="16">
      <c r="A970" s="23"/>
      <c r="B970" s="23"/>
      <c r="C970" s="23"/>
      <c r="D970" s="23"/>
    </row>
    <row r="971" spans="1:4" ht="16">
      <c r="A971" s="23"/>
      <c r="B971" s="23"/>
      <c r="C971" s="23"/>
      <c r="D971" s="23"/>
    </row>
    <row r="972" spans="1:4" ht="16">
      <c r="A972" s="23"/>
      <c r="B972" s="23"/>
      <c r="C972" s="23"/>
      <c r="D972" s="23"/>
    </row>
    <row r="973" spans="1:4" ht="16">
      <c r="A973" s="23"/>
      <c r="B973" s="23"/>
      <c r="C973" s="23"/>
      <c r="D973" s="23"/>
    </row>
    <row r="974" spans="1:4" ht="16">
      <c r="A974" s="23"/>
      <c r="B974" s="23"/>
      <c r="C974" s="23"/>
      <c r="D974" s="23"/>
    </row>
    <row r="975" spans="1:4" ht="16">
      <c r="A975" s="23"/>
      <c r="B975" s="23"/>
      <c r="C975" s="23"/>
      <c r="D975" s="23"/>
    </row>
    <row r="976" spans="1:4" ht="16">
      <c r="A976" s="23"/>
      <c r="B976" s="23"/>
      <c r="C976" s="23"/>
      <c r="D976" s="23"/>
    </row>
    <row r="977" spans="1:4" ht="16">
      <c r="A977" s="23"/>
      <c r="B977" s="23"/>
      <c r="C977" s="23"/>
      <c r="D977" s="23"/>
    </row>
    <row r="978" spans="1:4" ht="16">
      <c r="A978" s="23"/>
      <c r="B978" s="23"/>
      <c r="C978" s="23"/>
      <c r="D978" s="23"/>
    </row>
    <row r="979" spans="1:4" ht="16">
      <c r="A979" s="23"/>
      <c r="B979" s="23"/>
      <c r="C979" s="23"/>
      <c r="D979" s="23"/>
    </row>
    <row r="980" spans="1:4" ht="16">
      <c r="A980" s="23"/>
      <c r="B980" s="23"/>
      <c r="C980" s="23"/>
      <c r="D980" s="23"/>
    </row>
    <row r="981" spans="1:4" ht="16">
      <c r="A981" s="23"/>
      <c r="B981" s="23"/>
      <c r="C981" s="23"/>
      <c r="D981" s="23"/>
    </row>
    <row r="982" spans="1:4" ht="16">
      <c r="A982" s="23"/>
      <c r="B982" s="23"/>
      <c r="C982" s="23"/>
      <c r="D982" s="23"/>
    </row>
    <row r="983" spans="1:4" ht="16">
      <c r="A983" s="23"/>
      <c r="B983" s="23"/>
      <c r="C983" s="23"/>
      <c r="D983" s="23"/>
    </row>
    <row r="984" spans="1:4" ht="16">
      <c r="A984" s="23"/>
      <c r="B984" s="23"/>
      <c r="C984" s="23"/>
      <c r="D984" s="23"/>
    </row>
    <row r="985" spans="1:4" ht="16">
      <c r="A985" s="23"/>
      <c r="B985" s="23"/>
      <c r="C985" s="23"/>
      <c r="D985" s="23"/>
    </row>
    <row r="986" spans="1:4" ht="16">
      <c r="A986" s="23"/>
      <c r="B986" s="23"/>
      <c r="C986" s="23"/>
      <c r="D986" s="23"/>
    </row>
    <row r="987" spans="1:4" ht="16">
      <c r="A987" s="23"/>
      <c r="B987" s="23"/>
      <c r="C987" s="23"/>
      <c r="D987" s="23"/>
    </row>
    <row r="988" spans="1:4" ht="16">
      <c r="A988" s="23"/>
      <c r="B988" s="23"/>
      <c r="C988" s="23"/>
      <c r="D988" s="23"/>
    </row>
    <row r="989" spans="1:4" ht="16">
      <c r="A989" s="23"/>
      <c r="B989" s="23"/>
      <c r="C989" s="23"/>
      <c r="D989" s="23"/>
    </row>
    <row r="990" spans="1:4" ht="16">
      <c r="A990" s="23"/>
      <c r="B990" s="23"/>
      <c r="C990" s="23"/>
      <c r="D990" s="23"/>
    </row>
    <row r="991" spans="1:4" ht="16">
      <c r="A991" s="23"/>
      <c r="B991" s="23"/>
      <c r="C991" s="23"/>
      <c r="D991" s="23"/>
    </row>
    <row r="992" spans="1:4" ht="16">
      <c r="A992" s="23"/>
      <c r="B992" s="23"/>
      <c r="C992" s="23"/>
      <c r="D992" s="23"/>
    </row>
    <row r="993" spans="1:4" ht="16">
      <c r="A993" s="23"/>
      <c r="B993" s="23"/>
      <c r="C993" s="23"/>
      <c r="D993" s="23"/>
    </row>
    <row r="994" spans="1:4" ht="16">
      <c r="A994" s="23"/>
      <c r="B994" s="23"/>
      <c r="C994" s="23"/>
      <c r="D994" s="23"/>
    </row>
    <row r="995" spans="1:4" ht="16">
      <c r="A995" s="23"/>
      <c r="B995" s="23"/>
      <c r="C995" s="23"/>
      <c r="D995" s="23"/>
    </row>
    <row r="996" spans="1:4" ht="16">
      <c r="A996" s="23"/>
      <c r="B996" s="23"/>
      <c r="C996" s="23"/>
      <c r="D996" s="23"/>
    </row>
    <row r="997" spans="1:4" ht="16">
      <c r="A997" s="23"/>
      <c r="B997" s="23"/>
      <c r="C997" s="23"/>
      <c r="D997" s="23"/>
    </row>
    <row r="998" spans="1:4" ht="16">
      <c r="A998" s="23"/>
      <c r="B998" s="23"/>
      <c r="C998" s="23"/>
      <c r="D998" s="23"/>
    </row>
    <row r="999" spans="1:4" ht="16">
      <c r="A999" s="23"/>
      <c r="B999" s="23"/>
      <c r="C999" s="23"/>
      <c r="D999" s="23"/>
    </row>
  </sheetData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E6"/>
  <sheetViews>
    <sheetView workbookViewId="0">
      <selection activeCell="F8" sqref="F8"/>
    </sheetView>
  </sheetViews>
  <sheetFormatPr baseColWidth="10" defaultColWidth="12.6640625" defaultRowHeight="15.75" customHeight="1"/>
  <cols>
    <col min="1" max="1" width="34.33203125" customWidth="1"/>
    <col min="2" max="2" width="12.1640625" customWidth="1"/>
    <col min="3" max="3" width="10.1640625" customWidth="1"/>
    <col min="4" max="4" width="8.6640625" customWidth="1"/>
    <col min="5" max="5" width="6.83203125" customWidth="1"/>
  </cols>
  <sheetData>
    <row r="1" spans="1:5">
      <c r="A1" s="22" t="s">
        <v>28</v>
      </c>
      <c r="B1" s="22" t="s">
        <v>29</v>
      </c>
      <c r="C1" s="22" t="s">
        <v>10</v>
      </c>
      <c r="D1" s="22" t="s">
        <v>30</v>
      </c>
      <c r="E1" s="22" t="s">
        <v>31</v>
      </c>
    </row>
    <row r="2" spans="1:5">
      <c r="A2" s="22" t="s">
        <v>32</v>
      </c>
      <c r="B2" s="22" t="s">
        <v>33</v>
      </c>
      <c r="C2" s="22" t="s">
        <v>13</v>
      </c>
      <c r="D2" s="22">
        <v>260</v>
      </c>
      <c r="E2" s="22" t="s">
        <v>34</v>
      </c>
    </row>
    <row r="3" spans="1:5">
      <c r="A3" s="22" t="s">
        <v>46</v>
      </c>
      <c r="B3" s="22" t="s">
        <v>44</v>
      </c>
      <c r="C3" s="22" t="s">
        <v>45</v>
      </c>
      <c r="D3" s="22">
        <v>545</v>
      </c>
      <c r="E3" s="22">
        <v>50</v>
      </c>
    </row>
    <row r="4" spans="1:5">
      <c r="A4" s="22" t="s">
        <v>35</v>
      </c>
      <c r="B4" s="22" t="s">
        <v>36</v>
      </c>
      <c r="C4" s="22" t="s">
        <v>37</v>
      </c>
      <c r="D4" s="22">
        <v>225</v>
      </c>
      <c r="E4" s="22">
        <v>50</v>
      </c>
    </row>
    <row r="5" spans="1:5">
      <c r="A5" s="22" t="s">
        <v>38</v>
      </c>
      <c r="B5" s="22" t="s">
        <v>36</v>
      </c>
      <c r="C5" s="22" t="s">
        <v>37</v>
      </c>
      <c r="D5" s="22">
        <v>640</v>
      </c>
      <c r="E5" s="22">
        <v>50</v>
      </c>
    </row>
    <row r="6" spans="1:5">
      <c r="A6" s="22" t="s">
        <v>39</v>
      </c>
      <c r="B6" s="22" t="s">
        <v>36</v>
      </c>
      <c r="C6" s="22" t="s">
        <v>37</v>
      </c>
      <c r="D6" s="22">
        <v>710</v>
      </c>
      <c r="E6" s="22">
        <v>50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Overview</vt:lpstr>
      <vt:lpstr>iPhone Used Intl</vt:lpstr>
      <vt:lpstr>iPhone Refurbished</vt:lpstr>
      <vt:lpstr>Samsung Refurbished</vt:lpstr>
      <vt:lpstr>iPad Used</vt:lpstr>
      <vt:lpstr>Specail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b51478</cp:lastModifiedBy>
  <dcterms:modified xsi:type="dcterms:W3CDTF">2025-07-23T15:36:18Z</dcterms:modified>
</cp:coreProperties>
</file>